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0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'1-pajamos'!#REF!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'5-programos'!$7:$9</definedName>
    <definedName name="_xlnm.Print_Titles" localSheetId="8">'8 -ES projektai'!$11:$13</definedName>
  </definedNames>
  <calcPr fullCalcOnLoad="1"/>
</workbook>
</file>

<file path=xl/sharedStrings.xml><?xml version="1.0" encoding="utf-8"?>
<sst xmlns="http://schemas.openxmlformats.org/spreadsheetml/2006/main" count="1225" uniqueCount="712">
  <si>
    <t>Eil.Nr.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</si>
  <si>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</si>
  <si>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</si>
  <si>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</si>
  <si>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</si>
  <si>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</si>
  <si>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</si>
  <si>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</si>
  <si>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</si>
  <si>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</si>
  <si>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</si>
  <si>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</si>
  <si>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</si>
  <si>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</si>
  <si>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</si>
  <si>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</si>
  <si>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</si>
  <si>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</si>
  <si>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</si>
  <si>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</si>
  <si>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</si>
  <si>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</si>
  <si>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</si>
  <si>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</si>
  <si>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</si>
  <si>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</si>
  <si>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</si>
  <si>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</si>
  <si>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</si>
  <si>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</si>
  <si>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</si>
  <si>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</si>
  <si>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</si>
  <si>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</si>
  <si>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</si>
  <si>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</si>
  <si>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</si>
  <si>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</si>
  <si>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</si>
  <si>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</si>
  <si>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</si>
  <si>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</si>
  <si>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</si>
  <si>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</si>
  <si>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</si>
  <si>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</si>
  <si>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</si>
  <si>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</si>
  <si>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</si>
  <si>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</si>
  <si>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</si>
  <si>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</si>
  <si>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</si>
  <si>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</si>
  <si>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</si>
  <si>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</si>
  <si>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</si>
  <si>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</si>
  <si>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</si>
  <si>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</si>
  <si>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J.Tumo-Vaižganto gimnazija</t>
  </si>
  <si>
    <t>J.Tūbelio progimnazija</t>
  </si>
  <si>
    <t>Juodupės gimnazija</t>
  </si>
  <si>
    <t>Kamajų A.Strazdo gimnazija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</si>
  <si>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</si>
  <si>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</si>
  <si>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</si>
  <si>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</si>
  <si>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</si>
  <si>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</si>
  <si>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</si>
  <si>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</si>
  <si>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</si>
  <si>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</si>
  <si>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</si>
  <si>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</si>
  <si>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</si>
  <si>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</si>
  <si>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</si>
  <si>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</si>
  <si>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</si>
  <si>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6 priedas</t>
  </si>
  <si>
    <t>tūkst.Eur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</si>
  <si>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</si>
  <si>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</si>
  <si>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</si>
  <si>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</si>
  <si>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</si>
  <si>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</si>
  <si>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</si>
  <si>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</si>
  <si>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</si>
  <si>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</si>
  <si>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</si>
  <si>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</si>
  <si>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</si>
  <si>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</si>
  <si>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</si>
  <si>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</si>
  <si>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</si>
  <si>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</si>
  <si>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</si>
  <si>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</si>
  <si>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</si>
  <si>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</si>
  <si>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</si>
  <si>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</si>
  <si>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</si>
  <si>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</si>
  <si>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</si>
  <si>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</si>
  <si>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</si>
  <si>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</si>
  <si>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</si>
  <si>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</si>
  <si>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</si>
  <si>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</si>
  <si>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</si>
  <si>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</si>
  <si>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</si>
  <si>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</si>
  <si>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</si>
  <si>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</si>
  <si>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</si>
  <si>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</si>
  <si>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</si>
  <si>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</si>
  <si>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</si>
  <si>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</si>
  <si>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</si>
  <si>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</si>
  <si>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</si>
  <si>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</si>
  <si>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</si>
  <si>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</si>
  <si>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</si>
  <si>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</si>
  <si>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</si>
  <si>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</si>
  <si>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</si>
  <si>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</si>
  <si>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</si>
  <si>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</si>
  <si>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</si>
  <si>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</si>
  <si>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</si>
  <si>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</si>
  <si>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</si>
  <si>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</si>
  <si>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</si>
  <si>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</si>
  <si>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</si>
  <si>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</si>
  <si>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</si>
  <si>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</si>
  <si>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</si>
  <si>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</si>
  <si>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</si>
  <si>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</si>
  <si>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</si>
  <si>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</si>
  <si>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</si>
  <si>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</si>
  <si>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</si>
  <si>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</si>
  <si>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</si>
  <si>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</si>
  <si>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</si>
  <si>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</si>
  <si>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</si>
  <si>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</si>
  <si>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</si>
  <si>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</si>
  <si>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</si>
  <si>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</si>
  <si>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</si>
  <si>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</si>
  <si>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</si>
  <si>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</si>
  <si>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</si>
  <si>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</si>
  <si>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</si>
  <si>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</si>
  <si>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</si>
  <si>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</si>
  <si>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</si>
  <si>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</si>
  <si>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</si>
  <si>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</si>
  <si>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</si>
  <si>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</si>
  <si>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</si>
  <si>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</si>
  <si>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</si>
  <si>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</si>
  <si>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</si>
  <si>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</si>
  <si>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</si>
  <si>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</si>
  <si>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</si>
  <si>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</si>
  <si>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</si>
  <si>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</si>
  <si>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</si>
  <si>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</si>
  <si>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</si>
  <si>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</si>
  <si>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</si>
  <si>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</si>
  <si>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</si>
  <si>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</si>
  <si>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</si>
  <si>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</si>
  <si>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</si>
  <si>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</si>
  <si>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</si>
  <si>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</si>
  <si>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</si>
  <si>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</si>
  <si>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</si>
  <si>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</si>
  <si>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</si>
  <si>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</si>
  <si>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</si>
  <si>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</si>
  <si>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</si>
  <si>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</si>
  <si>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</si>
  <si>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</si>
  <si>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</si>
  <si>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</si>
  <si>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</si>
  <si>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</si>
  <si>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</si>
  <si>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</si>
  <si>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</si>
  <si>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</si>
  <si>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</si>
  <si>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</si>
  <si>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</si>
  <si>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</si>
  <si>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</si>
  <si>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</si>
  <si>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</si>
  <si>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</si>
  <si>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</si>
  <si>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</si>
  <si>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</si>
  <si>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</si>
  <si>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</si>
  <si>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</si>
  <si>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</si>
  <si>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</si>
  <si>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</si>
  <si>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</si>
  <si>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</si>
  <si>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</si>
  <si>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</si>
  <si>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</si>
  <si>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</si>
  <si>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</si>
  <si>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</si>
  <si>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</si>
  <si>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</si>
  <si>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</si>
  <si>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</si>
  <si>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</si>
  <si>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</si>
  <si>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</si>
  <si>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</si>
  <si>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</si>
  <si>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</si>
  <si>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</si>
  <si>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</si>
  <si>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</si>
  <si>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</si>
  <si>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</si>
  <si>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</si>
  <si>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</si>
  <si>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</si>
  <si>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</si>
  <si>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</si>
  <si>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</si>
  <si>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</si>
  <si>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</si>
  <si>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</si>
  <si>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</si>
  <si>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</si>
  <si>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</si>
  <si>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</si>
  <si>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</si>
  <si>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</si>
  <si>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>PRACT už atliekų tvarkymą</t>
  </si>
  <si>
    <t xml:space="preserve">              Kalėdų senelio rezidencijai</t>
  </si>
  <si>
    <t>Automobiliams seniūnijų socialiniams darbuotojams</t>
  </si>
  <si>
    <t>Kaimo programa</t>
  </si>
  <si>
    <t>Melioracijos programa</t>
  </si>
  <si>
    <t>Talentingų žmonių rėmimo programa</t>
  </si>
  <si>
    <t>Kaimo materialinės bazės stiprinimo programa</t>
  </si>
  <si>
    <t>Užimtumo didinimo programa</t>
  </si>
  <si>
    <t>Seniūnijų gatvių apšvietimo atnaujinimo programa</t>
  </si>
  <si>
    <t>Rajono reprezentacinių sporto renginių programa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</si>
  <si>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</si>
  <si>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</si>
  <si>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</si>
  <si>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Senamiesčio progimnazijos Kriaunų sk.</t>
  </si>
  <si>
    <t>Jūžintų J.O. Širvydo pagr.m-la</t>
  </si>
  <si>
    <t>Katalėjos šeimynai - pagalbos pinigai</t>
  </si>
  <si>
    <t>Mirusių asmenų palaikų ekspertiniams tyrimams nuvežimo išlaidoms</t>
  </si>
  <si>
    <t>Socialinių būstų remontui</t>
  </si>
  <si>
    <t>Melioracijos darbams naujai formuojamame Kriaunų kapinių išplėtimo sklype</t>
  </si>
  <si>
    <t>Rokiškio baseinas</t>
  </si>
  <si>
    <t>iš to sk.: automobiliams įsigyti</t>
  </si>
  <si>
    <t>Mokymo lėšos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</si>
  <si>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</si>
  <si>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</si>
  <si>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</si>
  <si>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</si>
  <si>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</si>
  <si>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</si>
  <si>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</si>
  <si>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</si>
  <si>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</si>
  <si>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</si>
  <si>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</si>
  <si>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</si>
  <si>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</si>
  <si>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</si>
  <si>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</si>
  <si>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</si>
  <si>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</si>
  <si>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</si>
  <si>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</si>
  <si>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</si>
  <si>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</si>
  <si>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</si>
  <si>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</si>
  <si>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</si>
  <si>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</si>
  <si>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</si>
  <si>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</si>
  <si>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</si>
  <si>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</si>
  <si>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</si>
  <si>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</si>
  <si>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</si>
  <si>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</si>
  <si>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</si>
  <si>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</si>
  <si>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</si>
  <si>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</si>
  <si>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</si>
  <si>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</si>
  <si>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 xml:space="preserve">Turto valdymo ir ūkio skyrius </t>
  </si>
  <si>
    <t>VšĮ Rokiškio rajono ligoninės dalininko kapitalui didinti (lizingas-kompiuteriniam tomografui ir  skaitmeninei rentgeno diagnostikos sistemai)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</si>
  <si>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</si>
  <si>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</si>
  <si>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</si>
  <si>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</si>
  <si>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ROKIŠKIO RAJONO SAVIVALDYBĖS 2020 METŲ BIUDŽETAS</t>
  </si>
  <si>
    <t>ROKIŠKIO RAJONO SAVIVALDYBĖS BIUDŽETINIŲ ĮSTAIGŲ 2020 M. PAJAMOS</t>
  </si>
  <si>
    <t>Mokymo lėšos ugdymo procesui organizuoti ir valdyti bei švietimo pagalbai 2020 metams</t>
  </si>
  <si>
    <t>Suaug. ir jaun.mok.c. VŠĮ Rokiškio psich. ligon. sk.</t>
  </si>
  <si>
    <t xml:space="preserve">Pandėlio UDC </t>
  </si>
  <si>
    <t>2020 m. vasario 27 d. sprendimo Nr. TS-</t>
  </si>
  <si>
    <t>2020 m. vasario 27 d.sprendimo Nr. TS-</t>
  </si>
  <si>
    <t>Jaunimo politikos įgyvendinimo programa</t>
  </si>
  <si>
    <t>Nuostolių kompensavimas pagal skolos grąžinimo grafiką</t>
  </si>
  <si>
    <t>Žemės sklypų formavimo ir pertvarkymo projektų ir topografinių planų parengimas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</si>
  <si>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</si>
  <si>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</si>
  <si>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</si>
  <si>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</si>
  <si>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Lauko aikštelių ikimokyklinėse įstaigose atnaujinimui</t>
  </si>
  <si>
    <t>Rajoną reprezentujančių meno objektų miesto erdvėse priežiūros (restauravimo) finansavimas</t>
  </si>
  <si>
    <t>Lietuvos moksleivių dainų šventei</t>
  </si>
  <si>
    <t xml:space="preserve"> iš jų: sporto organizacijų projektų finansavimas</t>
  </si>
  <si>
    <t>Žemės sklypų kadastrinių matavimų atlikimas ir kitos paslaugos</t>
  </si>
  <si>
    <t>Žemės sklypų, esančių Rokiškio rajono savivaldybės teritorijoje, paėmimo visuomenės poreikiams sąnaudų ir naudos analizė</t>
  </si>
  <si>
    <t xml:space="preserve">VALSTYBĖS DELEGUOTŲ  FUNKCIJŲ PASKIRSTYMAS  2020 M.  </t>
  </si>
  <si>
    <t xml:space="preserve">     tūkst. eur.</t>
  </si>
  <si>
    <t>Valstybės funkcijos pavadinimas</t>
  </si>
  <si>
    <t>Asignavimų valdytojas</t>
  </si>
  <si>
    <t xml:space="preserve"> Iš to sk.: DUF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</si>
  <si>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</si>
  <si>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</si>
  <si>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</si>
  <si>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</si>
  <si>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</si>
  <si>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Priskirtos valstybės žemės ir kito turto valdymo, naudojimo ir disponavimo juo patikėjimo teise funkcijai atlikti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</si>
  <si>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</si>
  <si>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</si>
  <si>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</si>
  <si>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                    priemonėms įsigyti</t>
  </si>
  <si>
    <t>Statybos ir infrastruktūros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</si>
  <si>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</si>
  <si>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</si>
  <si>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</si>
  <si>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</si>
  <si>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</si>
  <si>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</si>
  <si>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</si>
  <si>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</si>
  <si>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</si>
  <si>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</si>
  <si>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</si>
  <si>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</si>
  <si>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>Socialinės išmokos    iš viso</t>
  </si>
  <si>
    <t xml:space="preserve">     iš jų :  soc.išmokų administravimas 1 PR.</t>
  </si>
  <si>
    <t xml:space="preserve"> Administracija</t>
  </si>
  <si>
    <t xml:space="preserve">               soc.išmokos ( laidojimo pašalpos)   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</si>
  <si>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</si>
  <si>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</si>
  <si>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</si>
  <si>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</si>
  <si>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</si>
  <si>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</si>
  <si>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</si>
  <si>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</si>
  <si>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</si>
  <si>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</si>
  <si>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</si>
  <si>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</si>
  <si>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r>
      <t xml:space="preserve">                 </t>
    </r>
    <r>
      <rPr>
        <sz val="10"/>
        <rFont val="Arial"/>
        <family val="2"/>
      </rPr>
      <t>iš jų:</t>
    </r>
  </si>
  <si>
    <t xml:space="preserve">  Administracija</t>
  </si>
  <si>
    <t>Būsto nuomos ar išperkamosios nuomos mokesčių dalies kompensavimas</t>
  </si>
  <si>
    <t xml:space="preserve">                      iš jų: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</si>
  <si>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</si>
  <si>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</si>
  <si>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</si>
  <si>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</si>
  <si>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>Erdvinių duomenų rinkinio tvarkymo funkcija</t>
  </si>
  <si>
    <t xml:space="preserve"> IŠ VISO VALSTYBĖS FUNKCIJOMS:</t>
  </si>
  <si>
    <t xml:space="preserve">              Rokiškio rajono savivaldybės tarybos  </t>
  </si>
  <si>
    <t xml:space="preserve">                        2020 m.vasario  27  d. sprendimo Nr. TS-</t>
  </si>
  <si>
    <t xml:space="preserve">                                                                                                  1 priedas</t>
  </si>
  <si>
    <t xml:space="preserve">  ROKIŠKIO RAJONO SAVIVALDYBĖS 2020 METŲ BIUDŽETAS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</si>
  <si>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</si>
  <si>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</si>
  <si>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</si>
  <si>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</si>
  <si>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</si>
  <si>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</si>
  <si>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</si>
  <si>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</si>
  <si>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</si>
  <si>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</si>
  <si>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</si>
  <si>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</si>
  <si>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</si>
  <si>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</si>
  <si>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</si>
  <si>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</si>
  <si>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</si>
  <si>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</si>
  <si>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</si>
  <si>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</si>
  <si>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</si>
  <si>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</si>
  <si>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</si>
  <si>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</si>
  <si>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</si>
  <si>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</si>
  <si>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</si>
  <si>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</si>
  <si>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Speciali tikslinė dotacija iš viso (15+16+17+18)</t>
  </si>
  <si>
    <t xml:space="preserve"> 1.3.4.1.1.1.a</t>
  </si>
  <si>
    <t xml:space="preserve"> 1.3.4.1.1.1.b</t>
  </si>
  <si>
    <t xml:space="preserve"> 1.3.4.1.1.1.c</t>
  </si>
  <si>
    <t>Ūkio lėšos mokykloms, turinčioms mokinių su specialiaisiais poreikiais -Rokiškio pagrindinei mokyklai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</si>
  <si>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</si>
  <si>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</si>
  <si>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1.3.4.1.1.5</t>
  </si>
  <si>
    <t xml:space="preserve">1.3.4.1.1.5.1  </t>
  </si>
  <si>
    <t>Valstybės biudžeto lėšos, skirtos mokytojų,dirbančių pagal neformaliojo vaikų švietimo programas mokyklose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</si>
  <si>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</si>
  <si>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</si>
  <si>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</si>
  <si>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</si>
  <si>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</si>
  <si>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</si>
  <si>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</si>
  <si>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</si>
  <si>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</si>
  <si>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</si>
  <si>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1.4.2.2.</t>
  </si>
  <si>
    <t>Pajamos iš baudų ir konfiskacijos</t>
  </si>
  <si>
    <t>1.4.2.3.</t>
  </si>
  <si>
    <t>Kitos pajamos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</si>
  <si>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</si>
  <si>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</si>
  <si>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</si>
  <si>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</si>
  <si>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</si>
  <si>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</si>
  <si>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</si>
  <si>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 xml:space="preserve">               Rokiškio rajono savivaldybės tarybos  </t>
  </si>
  <si>
    <t xml:space="preserve">                                                            2020 m.vasario   d. sprendimo Nr.TS -</t>
  </si>
  <si>
    <t xml:space="preserve">                                                                                                  2 priedas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</si>
  <si>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</si>
  <si>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</si>
  <si>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</si>
  <si>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</si>
  <si>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</si>
  <si>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</si>
  <si>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</si>
  <si>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</si>
  <si>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</si>
  <si>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</si>
  <si>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</si>
  <si>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</si>
  <si>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</si>
  <si>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</si>
  <si>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</si>
  <si>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</si>
  <si>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</si>
  <si>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</si>
  <si>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</si>
  <si>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</si>
  <si>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</si>
  <si>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</si>
  <si>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</si>
  <si>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</si>
  <si>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</si>
  <si>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</si>
  <si>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</si>
  <si>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</si>
  <si>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</si>
  <si>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</si>
  <si>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</si>
  <si>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 xml:space="preserve">  IŠ VISO </t>
  </si>
  <si>
    <t>7 priedas</t>
  </si>
  <si>
    <t>ROKIŠKIO RAJONO SAVIVALDYBĖS APYVARTOS LĖŠOS</t>
  </si>
  <si>
    <t>eurai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</si>
  <si>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</si>
  <si>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</si>
  <si>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</si>
  <si>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</si>
  <si>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</si>
  <si>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     iš jų:  nekilnojamo turto nuomos specialioji programa</t>
  </si>
  <si>
    <t xml:space="preserve">Panemunėlio seniūnija                      </t>
  </si>
  <si>
    <t>J/Tumo-Vaižganto gimnazija</t>
  </si>
  <si>
    <t>Jūžintų J.O.Širvydo vidurinė mokykla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</si>
  <si>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</si>
  <si>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</si>
  <si>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</si>
  <si>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</si>
  <si>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>Socialinė parama mokiniams - nemokamas maitinimas vaikams,turintiems neįgalumą</t>
  </si>
  <si>
    <t>Rokiškio rajono savivaldybės tarybos</t>
  </si>
  <si>
    <t>8 priedas</t>
  </si>
  <si>
    <r>
      <t xml:space="preserve">2020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</si>
  <si>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sumos- tūkst.eurų</t>
  </si>
  <si>
    <t>Projekto pavadinimas</t>
  </si>
  <si>
    <t>projekto vertė iš viso, tūkst. eurų</t>
  </si>
  <si>
    <t xml:space="preserve"> iš jų:</t>
  </si>
  <si>
    <t xml:space="preserve">Reikalinga 2020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</si>
  <si>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</si>
  <si>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</si>
  <si>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</si>
  <si>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</si>
  <si>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</si>
  <si>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</si>
  <si>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</si>
  <si>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</si>
  <si>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</si>
  <si>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</si>
  <si>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</si>
  <si>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</si>
  <si>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 xml:space="preserve">Pradėtas 2018 m., SB kofinansavimas - 30 proc. </t>
  </si>
  <si>
    <t>Socialinio būsto fondo plėtra Rokiškio rajono savivaldybėje</t>
  </si>
  <si>
    <t>Projektas pratęstas iki 2020-09-30.</t>
  </si>
  <si>
    <t>Obelių miesto gyvenamosios vietovės atnaujinimas</t>
  </si>
  <si>
    <t>projektas bus užbaigtas 2020 m.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</si>
  <si>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</si>
  <si>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</si>
  <si>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
Netinkamas išlaidos tikėtina, kad bus apmokėtos KPPP lėšomis</t>
  </si>
  <si>
    <t>Rokiškio rajono Panemunėlio geležinkelio stoties gyvenvietės paviršinio vandens sutvarkymas ir su juo susijusios infrastruktūros rekonstravimas</t>
  </si>
  <si>
    <t>užbaigtas projektas bus 2020 m.</t>
  </si>
  <si>
    <t>„Biržų, Kupiškio, Pasvalio ir Rokiškio rajonų savivaldybes jungiančių turizmo trasų ir turizmo maršrutų informacinės infrastruktūros plėtra“ (pareiškėjas - Biržų r. savivaldybė)</t>
  </si>
  <si>
    <t>Rokiškio l/d „Pumpurėlis“ pastato vidaus patalpų  ir ugdymo aplinkos modernizavimas</t>
  </si>
  <si>
    <t xml:space="preserve">Vyksta tyrimas dėl įtariamo pažeidimo projekte Nr. 09.1.2.-CPVA-R-705-51-0003 dėl sumos - 15533,13 Eur </t>
  </si>
  <si>
    <t>Sveikos gyvensenos skatinimas Rokiškio rajone</t>
  </si>
  <si>
    <t>užbaigtas bus 2020 m.</t>
  </si>
  <si>
    <t xml:space="preserve"> Rokiškio rajono savivaldybės visuomenės sveikatos biuras  ir Rokiškio baseinas (partneris) "Sportuokime kartu  Rokiškio baseine" 
</t>
  </si>
  <si>
    <t xml:space="preserve">Atsinaujinančių energijos šaltinių diegimas VšĮ Rokiškio rajono ligoninėje </t>
  </si>
  <si>
    <t>Geriatrijos dienos stacionaro ir konsultacinių kabinetų įkūrimas bei aprūpinimas reikiam įranga ir baldais VšĮ Rokiškio rajono ligoninėje</t>
  </si>
  <si>
    <t>Preliminarus projektinis pasiūlymas teikiamas 2019-10-29, projektas bus vykdomas 2020 m.</t>
  </si>
  <si>
    <t>VšĮ Rokiškio pirminės asmens sveikatos priežiūros centro veiklos efektyvumo didinimas, gerinant teikiamų paslaugų kokybę ir prieinamumą</t>
  </si>
  <si>
    <t xml:space="preserve">patikslintos sumos, nes iki tol nebuvo aikšku kiek bus sutaupyta lėšų. 2019-10-28 duomenimis sutaupyta 38540,03 Eur. 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</si>
  <si>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</si>
  <si>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</si>
  <si>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Projekto veiklų pabaiga pratęsta iki 2020-05-30</t>
  </si>
  <si>
    <t>Rokiškio rajono Jūžintų seniūnijos vietinės reikšmės kelio Sėlynė-Laibgaliai kapitalinis remontas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</si>
  <si>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</si>
  <si>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Projekto veiklų pabaiga 2019-01-31</t>
  </si>
  <si>
    <t>Ugdymo aplinkos modernizavimas Rokiškio J. Tumo-Vaižganto gimnazijoje bei Rokiškio J. Tūbelio progimnazijoje</t>
  </si>
  <si>
    <t>Projekto pabaiga 2020-01-30</t>
  </si>
  <si>
    <t>Socialinių paslaugų kokybės ir prieinamumo gerinimas Vidurio Baltijos regione (projekto vykdytojas - VšĮ Rokiškio jaunimo centras)</t>
  </si>
  <si>
    <t>Jeigu spėsime nusipirkti priemones šiais metais apie 10 tūkst.Eur (laukiam patvirtinimo). Projekto pabaiga 2020- 02 mėn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</si>
  <si>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</si>
  <si>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reikalingos avansinės lėšos, kurios bus grąžintos pasibaigus projektui 2020m I ketv.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</si>
  <si>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</si>
  <si>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 xml:space="preserve">reikės visam projektui apyvartinių lėšų iš SB, projekto įvykdymui, lėšos bus atstatytos 2020-2021 m. </t>
  </si>
  <si>
    <t>Rokiškio miesto kultūros infrastruktūros paslaugų gerinimas (Rokiškio kultūros centras)</t>
  </si>
  <si>
    <t>„Rokiškio rajono vaikų sveiko ir aktyvaus gyvenimo būdo skatinimas“- pareiškėjas Asociacija „Veiklus pilietis“, partneris - Rokiškior. savivaldybės administracija</t>
  </si>
  <si>
    <t xml:space="preserve">Gautas finansavimas iš ESF priemonės NR 08.4.2-ESFA-K-629 , savivaldybės indėlis - 5 proc. </t>
  </si>
  <si>
    <t>Ugniagesių savanorių priešgaisrinės apsaugos ir gelbėjimo paslaugų skatinimas Rokiškio rajone (Pareiškėjas - Rokiškio rajono savanorių ugniagesių draugija)</t>
  </si>
  <si>
    <t>Jeigu nepabaigsime įgyvendinti projekto šiais metais ir nepanaudosime skirtų lėšų, 2020 m. reikalalingas poreikis. Projekto pabaiga 2020-03-31</t>
  </si>
  <si>
    <t>Keliaukim kartu spalvingu emocijų taku (K2SET) Vykdytojas l/d "Pumpurėlis", Partneriai - Švietimo centras, l/d "Nykštukas", Panemunėlio mokykla-daugiafunkcis centras</t>
  </si>
  <si>
    <t>Gautas finansavimas iš ESF, savivaldybės indėlis 2 proc.</t>
  </si>
  <si>
    <t>Suaugusiųjų švietėjų komptencijų tobulinimas siekiant teikiamų paslaugų kokybės ir prieinamumo didinimo (Rokiškio švietimo centras)</t>
  </si>
  <si>
    <t>„Rokiškio krašto muziejaus inovatyvių paslaugų gerinimas“ (pareiškėjas - Rokiškio krašto muziejus)</t>
  </si>
  <si>
    <t xml:space="preserve">reikės visam projektui apyvartinių lėšų iš SB, projekto įvykdymui, lėšos bus atstatytos 2019-2020 m. </t>
  </si>
  <si>
    <t>Rokiškio Juozo Tumo Vaižganto gimnazija Erasmus+ KA-2 projektas "Tobulėjantys mokytoji- geresnė mokykla" 2018-2020</t>
  </si>
  <si>
    <t>Rokiškio Juozo Tumo- Vaižganto gimnazija ERASMUS+ KA229 "Old places- New spaces" 2019-2021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</si>
  <si>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</si>
  <si>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„Kokybės krepšelis“, pareiškėjas Rokiškio r. Kamajų Antano Strazdo gimnazija</t>
  </si>
  <si>
    <t>2020 m. sausio mėn.</t>
  </si>
  <si>
    <t>„Kokybės krepšelis“ pareiškėjas Rokiškio Juozo Tūbelio progimnazija</t>
  </si>
  <si>
    <t>2020 m. 1 pusmetis</t>
  </si>
  <si>
    <t>IŠ VISO</t>
  </si>
  <si>
    <t>2020 m. vasario 27 d. sprendimo TS -</t>
  </si>
  <si>
    <t xml:space="preserve">        (LĖŠŲ LIKUTIS 2019 M. GRUODŽIO 31 D.)</t>
  </si>
  <si>
    <t>2020 m. vasario 27  d. sprendimo Nr. TS-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</si>
  <si>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</si>
  <si>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</si>
  <si>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</si>
  <si>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</si>
  <si>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Strateginio planavimo, investicijų ir viešųjų pirkimų  skyrius</t>
  </si>
  <si>
    <t>Investiciniams projektams,galimybių studijoms ir kitiems dokumentams rengti</t>
  </si>
  <si>
    <t xml:space="preserve"> iš to sk.: automobiliams įsigyti</t>
  </si>
  <si>
    <t>Švietimo, kultūros ir sporto skyrius</t>
  </si>
  <si>
    <t>Lengvatinio moksleivių pervež. išlaidų kompensav.</t>
  </si>
  <si>
    <t xml:space="preserve">Senamiesčio progimnazijos Kriaunų sk. </t>
  </si>
  <si>
    <t xml:space="preserve"> iš to sk.: ledo aikštelės šaldymui ir priežiūrai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</si>
  <si>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</si>
  <si>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</si>
  <si>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</si>
  <si>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Nevyriausybinių organizacijų projektų finansavimas</t>
  </si>
  <si>
    <t xml:space="preserve">  iš to sk.: sporto organizacijų projektų finansavimas</t>
  </si>
  <si>
    <t>Panemunėlio mokykla- daugiafunkcis centras</t>
  </si>
  <si>
    <t>Asmenų patalpinimas į stacionarias globos įstaigas</t>
  </si>
  <si>
    <t>VšĮ Rokiškio rajono ligoninės dalininko kapitalui didinti (lizingas- kompiuteriniam tomografui ir  skaitmeninei rentgeno diagnostikos sistemai)</t>
  </si>
  <si>
    <t xml:space="preserve"> </t>
  </si>
  <si>
    <t>Darbo politikos formavavimas ir įgyvendinimas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</si>
  <si>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</si>
  <si>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</si>
  <si>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</si>
  <si>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</si>
  <si>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</si>
  <si>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</si>
  <si>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Nuostolingų maršrutų išlaidoms kompensuoti</t>
  </si>
  <si>
    <r>
      <t xml:space="preserve">ML* - </t>
    </r>
    <r>
      <rPr>
        <sz val="10"/>
        <rFont val="Arial"/>
        <family val="2"/>
      </rPr>
      <t>mokinio krepšelis</t>
    </r>
  </si>
  <si>
    <t xml:space="preserve">Rokiškio rajono bendruomeninių vaikų globos namų ir vaikų dienos centrų plėtra </t>
  </si>
  <si>
    <t>1.3.4.2.</t>
  </si>
  <si>
    <t>1.3.4.2.1.1.1.</t>
  </si>
  <si>
    <t>1.3.4.2.1.1.2.</t>
  </si>
  <si>
    <t>Dotacija savivaldybės vykdomų projektų nuosavai daliai finansuoti</t>
  </si>
  <si>
    <t>31.</t>
  </si>
  <si>
    <t>32.</t>
  </si>
  <si>
    <t>33.</t>
  </si>
  <si>
    <t>DOTACIJOS (14+19+21)</t>
  </si>
  <si>
    <t>Juozo Tūbelio progimnazijos pastatui modernizuoti</t>
  </si>
  <si>
    <t xml:space="preserve">                               </t>
  </si>
  <si>
    <t>FINANSŲ MINISTERIJA</t>
  </si>
  <si>
    <t>Rokiškio Juozo Tūbelio progimnazijos pastato modernizavimas</t>
  </si>
  <si>
    <t>TS numatytas prisidėjimas 20 proc.,kadangi ŠMM skyrė mažesnę lėšų sumą, nei prašoma, atsiranda papildomų prisidėjimo išlaidų</t>
  </si>
  <si>
    <t xml:space="preserve">            konferencija,,Rokiškio dvaro sodybos alaus daryklos (Krošinskių pilaitės) pritaikymo idėjos"</t>
  </si>
  <si>
    <t>Socialinė paramoa mokiniams - nemokamas maitinimas</t>
  </si>
  <si>
    <t>Savivaldybės  vykdomiems projektams prisidėti</t>
  </si>
  <si>
    <t>Savivaldybės vykdomiems projektams  prisidėti</t>
  </si>
  <si>
    <t>Valstybinėms (valstybės perduotoms savivaldybėms) funkcijoms vykdyti</t>
  </si>
  <si>
    <t xml:space="preserve">             VALSTYBINĖS (VALSTYBĖS PERDUOTOMS SAVIVALDYBĖMS) FUNKCIJOS                                                       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</si>
  <si>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</si>
  <si>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</si>
  <si>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priežiūros ir plėtros programa</t>
  </si>
  <si>
    <t>1.3.4.1.1.5.2.</t>
  </si>
  <si>
    <t>Kelių priežiūros ir plėtros programa (KPPP)</t>
  </si>
  <si>
    <t>1.3.4.2.1.1.3.</t>
  </si>
  <si>
    <t>SUSISIEKIMO MINISTERIJA</t>
  </si>
  <si>
    <t>Socialinės paslaugos Rokiškio rajono gyventojams</t>
  </si>
  <si>
    <t>reikalinga 10,0 tūkst.eurų apyvartinėms lėšoms</t>
  </si>
  <si>
    <t>Soc. paramos ir sveikatos skyrius</t>
  </si>
  <si>
    <t>iš jo: darbo užmokes -čiui</t>
  </si>
  <si>
    <t>Finansų skyrius iš viso</t>
  </si>
  <si>
    <t>Obelių gimnazijos neformaliojo švietimo skyrius</t>
  </si>
  <si>
    <t>Kamajų neformaliojo švietimo skyrius</t>
  </si>
  <si>
    <t>Juodupės gimnazijos neformaliojo švietimo skyrius</t>
  </si>
  <si>
    <t xml:space="preserve">Finansų skyrius </t>
  </si>
  <si>
    <t>Kairelių kaimo bendruomenės socialinio verslo kūrimas</t>
  </si>
  <si>
    <t>4,5 - apyvartinėms lėšoms</t>
  </si>
  <si>
    <t>4,0-apyvartinėms lėšoms</t>
  </si>
  <si>
    <t>4,8-apyvartinėms lėšoms</t>
  </si>
  <si>
    <t>34.</t>
  </si>
  <si>
    <t>35.</t>
  </si>
  <si>
    <t>VISI MOKESČIAI, PAJAMOS IR DOTACIJOS(1+13+26)</t>
  </si>
  <si>
    <t xml:space="preserve">   Paskollos grąžinimas</t>
  </si>
  <si>
    <t>Dotacijos  grąžinimas</t>
  </si>
  <si>
    <t>Paskolų aptarnavimas</t>
  </si>
  <si>
    <t>Dotacijos grąžinimas</t>
  </si>
  <si>
    <t xml:space="preserve">    iš jų: ilgalaikiam turtui įsigyti</t>
  </si>
  <si>
    <t xml:space="preserve">ES lėšos neformaliojo vaikų švietimo paslaugų plėtrai </t>
  </si>
  <si>
    <t>36.</t>
  </si>
  <si>
    <t>KITOS PAJAMOS (28+32+33+34)</t>
  </si>
  <si>
    <t>Turto pajamos(29+30+31)</t>
  </si>
  <si>
    <t>Integrali pagalba į namus</t>
  </si>
  <si>
    <t>Salų dvaro sodybos rūmų kapitalinia remontas</t>
  </si>
  <si>
    <t>„Viešojo saugumo gerinimas ir apsauga pasienio regionuose Latvijoje ir Lietuvoje</t>
  </si>
  <si>
    <t xml:space="preserve">reikės visam projektui apyvartinių lėšų iš SB-23,1, projekto įvykdymui, lėšos bus atstatytos 2020-2021 m. </t>
  </si>
  <si>
    <t>Kitos dotacijos turtui įsigyti (24+25+26)</t>
  </si>
  <si>
    <t>Kitos dotacijos einamiesiems tikslams (20+21+22)</t>
  </si>
  <si>
    <t>1.3.4.1.1.5.3.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</si>
</sst>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20" fillId="0" borderId="0">
      <alignment/>
      <protection/>
    </xf>
    <xf numFmtId="0" fontId="5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1" fillId="0" borderId="0">
      <alignment/>
      <protection/>
    </xf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0" borderId="11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right" vertical="center" wrapText="1"/>
    </xf>
    <xf numFmtId="178" fontId="6" fillId="0" borderId="15" xfId="0" applyNumberFormat="1" applyFont="1" applyBorder="1" applyAlignment="1">
      <alignment/>
    </xf>
    <xf numFmtId="178" fontId="6" fillId="0" borderId="16" xfId="56" applyNumberFormat="1" applyFont="1" applyBorder="1" applyAlignment="1">
      <alignment horizontal="right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left" vertical="center" wrapText="1"/>
      <protection/>
    </xf>
    <xf numFmtId="178" fontId="0" fillId="0" borderId="20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21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/>
    </xf>
    <xf numFmtId="0" fontId="6" fillId="0" borderId="19" xfId="0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12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2" xfId="0" applyNumberFormat="1" applyFont="1" applyFill="1" applyBorder="1" applyAlignment="1">
      <alignment/>
    </xf>
    <xf numFmtId="0" fontId="0" fillId="0" borderId="22" xfId="0" applyFont="1" applyBorder="1" applyAlignment="1">
      <alignment vertical="top"/>
    </xf>
    <xf numFmtId="178" fontId="0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6" fillId="33" borderId="21" xfId="0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178" fontId="6" fillId="0" borderId="21" xfId="0" applyNumberFormat="1" applyFont="1" applyBorder="1" applyAlignment="1">
      <alignment vertical="top" wrapText="1"/>
    </xf>
    <xf numFmtId="0" fontId="6" fillId="0" borderId="25" xfId="0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34" borderId="19" xfId="0" applyFont="1" applyFill="1" applyBorder="1" applyAlignment="1">
      <alignment/>
    </xf>
    <xf numFmtId="0" fontId="6" fillId="0" borderId="34" xfId="0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0" fontId="0" fillId="0" borderId="38" xfId="0" applyFont="1" applyBorder="1" applyAlignment="1">
      <alignment vertical="top"/>
    </xf>
    <xf numFmtId="178" fontId="6" fillId="0" borderId="39" xfId="0" applyNumberFormat="1" applyFont="1" applyFill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33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6" fillId="0" borderId="42" xfId="0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33" borderId="4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49" xfId="56" applyFont="1" applyBorder="1" applyAlignment="1">
      <alignment horizontal="center" vertical="center" wrapText="1"/>
      <protection/>
    </xf>
    <xf numFmtId="0" fontId="8" fillId="0" borderId="49" xfId="56" applyFont="1" applyBorder="1" applyAlignment="1">
      <alignment horizontal="center" vertical="center" wrapText="1"/>
      <protection/>
    </xf>
    <xf numFmtId="0" fontId="0" fillId="0" borderId="41" xfId="0" applyBorder="1" applyAlignment="1">
      <alignment vertical="top"/>
    </xf>
    <xf numFmtId="0" fontId="18" fillId="0" borderId="41" xfId="0" applyFont="1" applyBorder="1" applyAlignment="1">
      <alignment wrapText="1"/>
    </xf>
    <xf numFmtId="178" fontId="6" fillId="0" borderId="44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0" fontId="0" fillId="0" borderId="51" xfId="0" applyBorder="1" applyAlignment="1">
      <alignment vertical="top"/>
    </xf>
    <xf numFmtId="0" fontId="6" fillId="0" borderId="51" xfId="56" applyFont="1" applyBorder="1" applyAlignment="1">
      <alignment horizontal="left" vertical="center" wrapText="1"/>
      <protection/>
    </xf>
    <xf numFmtId="178" fontId="6" fillId="0" borderId="52" xfId="0" applyNumberFormat="1" applyFont="1" applyBorder="1" applyAlignment="1">
      <alignment/>
    </xf>
    <xf numFmtId="0" fontId="0" fillId="0" borderId="53" xfId="56" applyFont="1" applyBorder="1" applyAlignment="1">
      <alignment horizontal="center" vertical="center" wrapText="1"/>
      <protection/>
    </xf>
    <xf numFmtId="178" fontId="6" fillId="0" borderId="54" xfId="56" applyNumberFormat="1" applyFont="1" applyBorder="1" applyAlignment="1">
      <alignment horizontal="right" vertical="center" wrapText="1"/>
      <protection/>
    </xf>
    <xf numFmtId="178" fontId="6" fillId="0" borderId="55" xfId="56" applyNumberFormat="1" applyFont="1" applyBorder="1" applyAlignment="1">
      <alignment horizontal="right" vertical="center" wrapText="1"/>
      <protection/>
    </xf>
    <xf numFmtId="178" fontId="6" fillId="0" borderId="56" xfId="56" applyNumberFormat="1" applyFont="1" applyBorder="1" applyAlignment="1">
      <alignment horizontal="right" vertical="center" wrapText="1"/>
      <protection/>
    </xf>
    <xf numFmtId="178" fontId="6" fillId="0" borderId="55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0" fillId="0" borderId="19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11" fillId="0" borderId="21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9" fillId="0" borderId="19" xfId="0" applyFont="1" applyBorder="1" applyAlignment="1">
      <alignment wrapText="1"/>
    </xf>
    <xf numFmtId="178" fontId="0" fillId="0" borderId="22" xfId="0" applyNumberForma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34" xfId="0" applyBorder="1" applyAlignment="1">
      <alignment vertical="top"/>
    </xf>
    <xf numFmtId="178" fontId="0" fillId="0" borderId="42" xfId="0" applyNumberForma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6" fillId="0" borderId="62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19" fillId="0" borderId="19" xfId="0" applyFont="1" applyBorder="1" applyAlignment="1">
      <alignment/>
    </xf>
    <xf numFmtId="0" fontId="0" fillId="0" borderId="25" xfId="0" applyBorder="1" applyAlignment="1">
      <alignment vertical="top"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33" borderId="43" xfId="0" applyNumberFormat="1" applyFont="1" applyFill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6" fillId="0" borderId="65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0" fillId="0" borderId="58" xfId="0" applyNumberFormat="1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21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34" borderId="58" xfId="0" applyFont="1" applyFill="1" applyBorder="1" applyAlignment="1">
      <alignment/>
    </xf>
    <xf numFmtId="0" fontId="9" fillId="34" borderId="58" xfId="0" applyFont="1" applyFill="1" applyBorder="1" applyAlignment="1">
      <alignment vertical="top" wrapText="1"/>
    </xf>
    <xf numFmtId="0" fontId="10" fillId="0" borderId="19" xfId="0" applyFon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18" fillId="0" borderId="41" xfId="0" applyFont="1" applyBorder="1" applyAlignment="1">
      <alignment horizontal="left" vertical="center" wrapText="1"/>
    </xf>
    <xf numFmtId="0" fontId="0" fillId="0" borderId="19" xfId="0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178" fontId="0" fillId="0" borderId="21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6" fillId="0" borderId="12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20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178" fontId="0" fillId="0" borderId="22" xfId="0" applyNumberFormat="1" applyFont="1" applyBorder="1" applyAlignment="1">
      <alignment/>
    </xf>
    <xf numFmtId="0" fontId="0" fillId="34" borderId="25" xfId="0" applyFont="1" applyFill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0" fillId="0" borderId="58" xfId="0" applyBorder="1" applyAlignment="1">
      <alignment vertical="top"/>
    </xf>
    <xf numFmtId="0" fontId="6" fillId="0" borderId="66" xfId="0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6" fillId="0" borderId="66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vertical="top"/>
    </xf>
    <xf numFmtId="0" fontId="9" fillId="0" borderId="22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54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67" xfId="0" applyNumberFormat="1" applyFon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0" fontId="6" fillId="0" borderId="41" xfId="0" applyFont="1" applyBorder="1" applyAlignment="1">
      <alignment/>
    </xf>
    <xf numFmtId="0" fontId="0" fillId="0" borderId="58" xfId="0" applyFont="1" applyBorder="1" applyAlignment="1">
      <alignment vertical="top"/>
    </xf>
    <xf numFmtId="178" fontId="6" fillId="0" borderId="55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0" borderId="12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21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33" borderId="20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0" fillId="33" borderId="11" xfId="56" applyFont="1" applyFill="1" applyBorder="1" applyAlignment="1">
      <alignment horizontal="center" vertical="center" wrapText="1"/>
      <protection/>
    </xf>
    <xf numFmtId="178" fontId="0" fillId="33" borderId="12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2" xfId="56" applyFont="1" applyFill="1" applyBorder="1" applyAlignment="1">
      <alignment horizontal="center" vertical="center" wrapText="1"/>
      <protection/>
    </xf>
    <xf numFmtId="0" fontId="6" fillId="33" borderId="21" xfId="56" applyFont="1" applyFill="1" applyBorder="1" applyAlignment="1">
      <alignment horizontal="center" vertical="center" wrapText="1"/>
      <protection/>
    </xf>
    <xf numFmtId="0" fontId="0" fillId="33" borderId="12" xfId="56" applyFont="1" applyFill="1" applyBorder="1" applyAlignment="1">
      <alignment horizontal="right" vertical="center" wrapText="1"/>
      <protection/>
    </xf>
    <xf numFmtId="178" fontId="6" fillId="33" borderId="12" xfId="0" applyNumberFormat="1" applyFont="1" applyFill="1" applyBorder="1" applyAlignment="1">
      <alignment horizontal="right"/>
    </xf>
    <xf numFmtId="178" fontId="6" fillId="33" borderId="11" xfId="0" applyNumberFormat="1" applyFont="1" applyFill="1" applyBorder="1" applyAlignment="1">
      <alignment/>
    </xf>
    <xf numFmtId="178" fontId="6" fillId="33" borderId="20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 horizontal="right"/>
    </xf>
    <xf numFmtId="178" fontId="6" fillId="33" borderId="12" xfId="0" applyNumberFormat="1" applyFont="1" applyFill="1" applyBorder="1" applyAlignment="1">
      <alignment/>
    </xf>
    <xf numFmtId="178" fontId="6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vertical="top"/>
    </xf>
    <xf numFmtId="0" fontId="0" fillId="33" borderId="22" xfId="0" applyFont="1" applyFill="1" applyBorder="1" applyAlignment="1">
      <alignment/>
    </xf>
    <xf numFmtId="0" fontId="6" fillId="0" borderId="70" xfId="0" applyFont="1" applyBorder="1" applyAlignment="1">
      <alignment horizontal="left"/>
    </xf>
    <xf numFmtId="0" fontId="0" fillId="0" borderId="71" xfId="0" applyFont="1" applyBorder="1" applyAlignment="1">
      <alignment vertical="top"/>
    </xf>
    <xf numFmtId="178" fontId="6" fillId="0" borderId="72" xfId="0" applyNumberFormat="1" applyFont="1" applyBorder="1" applyAlignment="1">
      <alignment/>
    </xf>
    <xf numFmtId="0" fontId="0" fillId="33" borderId="22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2" fillId="0" borderId="1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2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/>
    </xf>
    <xf numFmtId="0" fontId="22" fillId="0" borderId="73" xfId="0" applyFont="1" applyFill="1" applyBorder="1" applyAlignment="1">
      <alignment/>
    </xf>
    <xf numFmtId="0" fontId="22" fillId="0" borderId="35" xfId="0" applyFont="1" applyBorder="1" applyAlignment="1">
      <alignment/>
    </xf>
    <xf numFmtId="1" fontId="22" fillId="0" borderId="12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0" fontId="22" fillId="0" borderId="55" xfId="0" applyFont="1" applyBorder="1" applyAlignment="1">
      <alignment/>
    </xf>
    <xf numFmtId="1" fontId="22" fillId="0" borderId="55" xfId="0" applyNumberFormat="1" applyFont="1" applyBorder="1" applyAlignment="1">
      <alignment horizontal="center"/>
    </xf>
    <xf numFmtId="1" fontId="22" fillId="0" borderId="5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178" fontId="6" fillId="0" borderId="72" xfId="0" applyNumberFormat="1" applyFont="1" applyFill="1" applyBorder="1" applyAlignment="1">
      <alignment/>
    </xf>
    <xf numFmtId="178" fontId="6" fillId="0" borderId="74" xfId="0" applyNumberFormat="1" applyFont="1" applyFill="1" applyBorder="1" applyAlignment="1">
      <alignment/>
    </xf>
    <xf numFmtId="178" fontId="6" fillId="0" borderId="75" xfId="0" applyNumberFormat="1" applyFont="1" applyFill="1" applyBorder="1" applyAlignment="1">
      <alignment/>
    </xf>
    <xf numFmtId="178" fontId="6" fillId="0" borderId="76" xfId="0" applyNumberFormat="1" applyFont="1" applyFill="1" applyBorder="1" applyAlignment="1">
      <alignment/>
    </xf>
    <xf numFmtId="178" fontId="6" fillId="0" borderId="55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/>
    </xf>
    <xf numFmtId="178" fontId="6" fillId="0" borderId="54" xfId="0" applyNumberFormat="1" applyFont="1" applyFill="1" applyBorder="1" applyAlignment="1">
      <alignment/>
    </xf>
    <xf numFmtId="178" fontId="0" fillId="0" borderId="56" xfId="0" applyNumberFormat="1" applyFont="1" applyFill="1" applyBorder="1" applyAlignment="1">
      <alignment/>
    </xf>
    <xf numFmtId="178" fontId="6" fillId="0" borderId="56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/>
    </xf>
    <xf numFmtId="178" fontId="10" fillId="0" borderId="12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35" xfId="0" applyNumberFormat="1" applyFont="1" applyFill="1" applyBorder="1" applyAlignment="1">
      <alignment/>
    </xf>
    <xf numFmtId="178" fontId="0" fillId="0" borderId="77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6" fillId="0" borderId="35" xfId="0" applyNumberFormat="1" applyFont="1" applyFill="1" applyBorder="1" applyAlignment="1">
      <alignment horizontal="right" wrapText="1"/>
    </xf>
    <xf numFmtId="178" fontId="6" fillId="0" borderId="37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35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54" xfId="0" applyFill="1" applyBorder="1" applyAlignment="1">
      <alignment/>
    </xf>
    <xf numFmtId="0" fontId="0" fillId="33" borderId="57" xfId="0" applyFont="1" applyFill="1" applyBorder="1" applyAlignment="1">
      <alignment wrapText="1"/>
    </xf>
    <xf numFmtId="178" fontId="6" fillId="33" borderId="55" xfId="56" applyNumberFormat="1" applyFont="1" applyFill="1" applyBorder="1" applyAlignment="1">
      <alignment horizontal="center"/>
      <protection/>
    </xf>
    <xf numFmtId="0" fontId="0" fillId="33" borderId="55" xfId="0" applyFont="1" applyFill="1" applyBorder="1" applyAlignment="1">
      <alignment vertical="center" wrapText="1"/>
    </xf>
    <xf numFmtId="178" fontId="0" fillId="33" borderId="55" xfId="0" applyNumberFormat="1" applyFont="1" applyFill="1" applyBorder="1" applyAlignment="1">
      <alignment horizontal="center" vertical="center" wrapText="1"/>
    </xf>
    <xf numFmtId="178" fontId="0" fillId="33" borderId="56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0" xfId="56" applyFont="1" applyFill="1" applyBorder="1">
      <alignment/>
      <protection/>
    </xf>
    <xf numFmtId="178" fontId="6" fillId="33" borderId="12" xfId="56" applyNumberFormat="1" applyFont="1" applyFill="1" applyBorder="1" applyAlignment="1">
      <alignment horizontal="center"/>
      <protection/>
    </xf>
    <xf numFmtId="1" fontId="0" fillId="33" borderId="12" xfId="56" applyNumberFormat="1" applyFont="1" applyFill="1" applyBorder="1" applyAlignment="1">
      <alignment horizontal="center"/>
      <protection/>
    </xf>
    <xf numFmtId="178" fontId="0" fillId="33" borderId="12" xfId="56" applyNumberFormat="1" applyFont="1" applyFill="1" applyBorder="1" applyAlignment="1">
      <alignment horizontal="center"/>
      <protection/>
    </xf>
    <xf numFmtId="178" fontId="0" fillId="33" borderId="10" xfId="56" applyNumberFormat="1" applyFont="1" applyFill="1" applyBorder="1" applyAlignment="1">
      <alignment horizontal="center"/>
      <protection/>
    </xf>
    <xf numFmtId="0" fontId="0" fillId="33" borderId="20" xfId="0" applyFill="1" applyBorder="1" applyAlignment="1">
      <alignment/>
    </xf>
    <xf numFmtId="178" fontId="0" fillId="33" borderId="12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6" xfId="0" applyFill="1" applyBorder="1" applyAlignment="1">
      <alignment/>
    </xf>
    <xf numFmtId="178" fontId="6" fillId="33" borderId="27" xfId="56" applyNumberFormat="1" applyFont="1" applyFill="1" applyBorder="1" applyAlignment="1">
      <alignment horizontal="center"/>
      <protection/>
    </xf>
    <xf numFmtId="178" fontId="0" fillId="33" borderId="27" xfId="0" applyNumberFormat="1" applyFill="1" applyBorder="1" applyAlignment="1">
      <alignment horizontal="center"/>
    </xf>
    <xf numFmtId="178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5" xfId="0" applyFont="1" applyFill="1" applyBorder="1" applyAlignment="1">
      <alignment/>
    </xf>
    <xf numFmtId="178" fontId="6" fillId="33" borderId="35" xfId="56" applyNumberFormat="1" applyFont="1" applyFill="1" applyBorder="1" applyAlignment="1">
      <alignment horizontal="center"/>
      <protection/>
    </xf>
    <xf numFmtId="178" fontId="0" fillId="33" borderId="35" xfId="0" applyNumberFormat="1" applyFill="1" applyBorder="1" applyAlignment="1">
      <alignment horizontal="center"/>
    </xf>
    <xf numFmtId="178" fontId="0" fillId="33" borderId="37" xfId="0" applyNumberForma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6" fillId="33" borderId="50" xfId="0" applyFont="1" applyFill="1" applyBorder="1" applyAlignment="1">
      <alignment/>
    </xf>
    <xf numFmtId="178" fontId="6" fillId="33" borderId="43" xfId="56" applyNumberFormat="1" applyFont="1" applyFill="1" applyBorder="1" applyAlignment="1">
      <alignment horizontal="center"/>
      <protection/>
    </xf>
    <xf numFmtId="178" fontId="6" fillId="33" borderId="43" xfId="0" applyNumberFormat="1" applyFont="1" applyFill="1" applyBorder="1" applyAlignment="1">
      <alignment horizontal="center"/>
    </xf>
    <xf numFmtId="178" fontId="6" fillId="33" borderId="45" xfId="0" applyNumberFormat="1" applyFont="1" applyFill="1" applyBorder="1" applyAlignment="1">
      <alignment horizontal="center"/>
    </xf>
    <xf numFmtId="178" fontId="6" fillId="33" borderId="29" xfId="0" applyNumberFormat="1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 horizontal="right"/>
    </xf>
    <xf numFmtId="1" fontId="23" fillId="0" borderId="43" xfId="0" applyNumberFormat="1" applyFont="1" applyBorder="1" applyAlignment="1">
      <alignment horizontal="center"/>
    </xf>
    <xf numFmtId="1" fontId="23" fillId="0" borderId="45" xfId="0" applyNumberFormat="1" applyFont="1" applyBorder="1" applyAlignment="1">
      <alignment horizontal="center"/>
    </xf>
    <xf numFmtId="0" fontId="0" fillId="0" borderId="62" xfId="56" applyFont="1" applyBorder="1" applyAlignment="1">
      <alignment horizontal="center" vertical="center" wrapText="1"/>
      <protection/>
    </xf>
    <xf numFmtId="178" fontId="6" fillId="0" borderId="11" xfId="0" applyNumberFormat="1" applyFont="1" applyBorder="1" applyAlignment="1">
      <alignment/>
    </xf>
    <xf numFmtId="178" fontId="6" fillId="0" borderId="77" xfId="0" applyNumberFormat="1" applyFont="1" applyBorder="1" applyAlignment="1">
      <alignment/>
    </xf>
    <xf numFmtId="178" fontId="6" fillId="0" borderId="17" xfId="56" applyNumberFormat="1" applyFont="1" applyBorder="1" applyAlignment="1">
      <alignment horizontal="right" vertical="center" wrapText="1"/>
      <protection/>
    </xf>
    <xf numFmtId="178" fontId="6" fillId="0" borderId="18" xfId="56" applyNumberFormat="1" applyFont="1" applyBorder="1" applyAlignment="1">
      <alignment horizontal="center" vertical="center" wrapText="1"/>
      <protection/>
    </xf>
    <xf numFmtId="178" fontId="6" fillId="33" borderId="23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6" fillId="0" borderId="74" xfId="0" applyNumberFormat="1" applyFont="1" applyFill="1" applyBorder="1" applyAlignment="1">
      <alignment/>
    </xf>
    <xf numFmtId="178" fontId="6" fillId="0" borderId="78" xfId="0" applyNumberFormat="1" applyFont="1" applyFill="1" applyBorder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12" xfId="45" applyFill="1" applyBorder="1">
      <alignment/>
      <protection/>
    </xf>
    <xf numFmtId="0" fontId="0" fillId="0" borderId="0" xfId="45" applyFont="1">
      <alignment/>
      <protection/>
    </xf>
    <xf numFmtId="0" fontId="0" fillId="0" borderId="10" xfId="45" applyFill="1" applyBorder="1">
      <alignment/>
      <protection/>
    </xf>
    <xf numFmtId="0" fontId="9" fillId="0" borderId="11" xfId="45" applyFont="1" applyFill="1" applyBorder="1">
      <alignment/>
      <protection/>
    </xf>
    <xf numFmtId="0" fontId="11" fillId="0" borderId="43" xfId="45" applyFont="1" applyBorder="1">
      <alignment/>
      <protection/>
    </xf>
    <xf numFmtId="0" fontId="6" fillId="0" borderId="52" xfId="45" applyFont="1" applyFill="1" applyBorder="1">
      <alignment/>
      <protection/>
    </xf>
    <xf numFmtId="0" fontId="6" fillId="0" borderId="20" xfId="45" applyFont="1" applyFill="1" applyBorder="1">
      <alignment/>
      <protection/>
    </xf>
    <xf numFmtId="0" fontId="0" fillId="0" borderId="20" xfId="45" applyFill="1" applyBorder="1">
      <alignment/>
      <protection/>
    </xf>
    <xf numFmtId="0" fontId="0" fillId="0" borderId="26" xfId="45" applyFill="1" applyBorder="1">
      <alignment/>
      <protection/>
    </xf>
    <xf numFmtId="0" fontId="6" fillId="0" borderId="26" xfId="45" applyFont="1" applyFill="1" applyBorder="1">
      <alignment/>
      <protection/>
    </xf>
    <xf numFmtId="0" fontId="11" fillId="0" borderId="50" xfId="45" applyFont="1" applyBorder="1">
      <alignment/>
      <protection/>
    </xf>
    <xf numFmtId="0" fontId="0" fillId="0" borderId="20" xfId="45" applyFont="1" applyFill="1" applyBorder="1">
      <alignment/>
      <protection/>
    </xf>
    <xf numFmtId="178" fontId="6" fillId="0" borderId="10" xfId="45" applyNumberFormat="1" applyFont="1" applyFill="1" applyBorder="1">
      <alignment/>
      <protection/>
    </xf>
    <xf numFmtId="178" fontId="11" fillId="0" borderId="43" xfId="45" applyNumberFormat="1" applyFont="1" applyBorder="1">
      <alignment/>
      <protection/>
    </xf>
    <xf numFmtId="178" fontId="0" fillId="33" borderId="10" xfId="45" applyNumberFormat="1" applyFill="1" applyBorder="1">
      <alignment/>
      <protection/>
    </xf>
    <xf numFmtId="0" fontId="0" fillId="0" borderId="36" xfId="45" applyBorder="1">
      <alignment/>
      <protection/>
    </xf>
    <xf numFmtId="0" fontId="0" fillId="0" borderId="54" xfId="45" applyBorder="1">
      <alignment/>
      <protection/>
    </xf>
    <xf numFmtId="178" fontId="6" fillId="0" borderId="53" xfId="45" applyNumberFormat="1" applyFont="1" applyFill="1" applyBorder="1">
      <alignment/>
      <protection/>
    </xf>
    <xf numFmtId="0" fontId="6" fillId="33" borderId="56" xfId="45" applyFont="1" applyFill="1" applyBorder="1">
      <alignment/>
      <protection/>
    </xf>
    <xf numFmtId="0" fontId="0" fillId="0" borderId="21" xfId="45" applyBorder="1">
      <alignment/>
      <protection/>
    </xf>
    <xf numFmtId="178" fontId="6" fillId="0" borderId="11" xfId="45" applyNumberFormat="1" applyFont="1" applyFill="1" applyBorder="1">
      <alignment/>
      <protection/>
    </xf>
    <xf numFmtId="178" fontId="6" fillId="33" borderId="10" xfId="45" applyNumberFormat="1" applyFont="1" applyFill="1" applyBorder="1">
      <alignment/>
      <protection/>
    </xf>
    <xf numFmtId="178" fontId="0" fillId="0" borderId="11" xfId="45" applyNumberFormat="1" applyFill="1" applyBorder="1">
      <alignment/>
      <protection/>
    </xf>
    <xf numFmtId="0" fontId="0" fillId="33" borderId="10" xfId="45" applyFill="1" applyBorder="1">
      <alignment/>
      <protection/>
    </xf>
    <xf numFmtId="0" fontId="6" fillId="33" borderId="10" xfId="45" applyFont="1" applyFill="1" applyBorder="1">
      <alignment/>
      <protection/>
    </xf>
    <xf numFmtId="178" fontId="0" fillId="0" borderId="28" xfId="45" applyNumberFormat="1" applyFill="1" applyBorder="1">
      <alignment/>
      <protection/>
    </xf>
    <xf numFmtId="178" fontId="9" fillId="0" borderId="11" xfId="45" applyNumberFormat="1" applyFont="1" applyFill="1" applyBorder="1">
      <alignment/>
      <protection/>
    </xf>
    <xf numFmtId="178" fontId="9" fillId="33" borderId="10" xfId="45" applyNumberFormat="1" applyFont="1" applyFill="1" applyBorder="1">
      <alignment/>
      <protection/>
    </xf>
    <xf numFmtId="178" fontId="6" fillId="33" borderId="56" xfId="45" applyNumberFormat="1" applyFont="1" applyFill="1" applyBorder="1">
      <alignment/>
      <protection/>
    </xf>
    <xf numFmtId="178" fontId="0" fillId="0" borderId="10" xfId="45" applyNumberFormat="1" applyFill="1" applyBorder="1">
      <alignment/>
      <protection/>
    </xf>
    <xf numFmtId="178" fontId="6" fillId="0" borderId="12" xfId="45" applyNumberFormat="1" applyFont="1" applyFill="1" applyBorder="1">
      <alignment/>
      <protection/>
    </xf>
    <xf numFmtId="178" fontId="0" fillId="0" borderId="12" xfId="45" applyNumberFormat="1" applyFill="1" applyBorder="1">
      <alignment/>
      <protection/>
    </xf>
    <xf numFmtId="178" fontId="6" fillId="0" borderId="28" xfId="45" applyNumberFormat="1" applyFont="1" applyFill="1" applyBorder="1">
      <alignment/>
      <protection/>
    </xf>
    <xf numFmtId="0" fontId="6" fillId="0" borderId="55" xfId="45" applyFont="1" applyFill="1" applyBorder="1" applyAlignment="1">
      <alignment horizontal="left"/>
      <protection/>
    </xf>
    <xf numFmtId="0" fontId="6" fillId="0" borderId="12" xfId="45" applyFont="1" applyFill="1" applyBorder="1" applyAlignment="1">
      <alignment horizontal="left"/>
      <protection/>
    </xf>
    <xf numFmtId="0" fontId="0" fillId="0" borderId="12" xfId="45" applyFill="1" applyBorder="1" applyAlignment="1">
      <alignment horizontal="left"/>
      <protection/>
    </xf>
    <xf numFmtId="0" fontId="0" fillId="0" borderId="27" xfId="45" applyFill="1" applyBorder="1" applyAlignment="1">
      <alignment horizontal="left"/>
      <protection/>
    </xf>
    <xf numFmtId="0" fontId="0" fillId="0" borderId="12" xfId="45" applyFont="1" applyFill="1" applyBorder="1" applyAlignment="1">
      <alignment horizontal="left"/>
      <protection/>
    </xf>
    <xf numFmtId="0" fontId="0" fillId="0" borderId="55" xfId="45" applyFill="1" applyBorder="1" applyAlignment="1">
      <alignment horizontal="left"/>
      <protection/>
    </xf>
    <xf numFmtId="0" fontId="6" fillId="0" borderId="20" xfId="45" applyFont="1" applyFill="1" applyBorder="1" applyAlignment="1">
      <alignment vertical="top" wrapText="1"/>
      <protection/>
    </xf>
    <xf numFmtId="178" fontId="0" fillId="0" borderId="12" xfId="45" applyNumberFormat="1" applyFon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0" fontId="0" fillId="0" borderId="12" xfId="45" applyFont="1" applyFill="1" applyBorder="1" applyAlignment="1">
      <alignment horizontal="left" vertical="top" wrapText="1"/>
      <protection/>
    </xf>
    <xf numFmtId="178" fontId="15" fillId="0" borderId="11" xfId="45" applyNumberFormat="1" applyFont="1" applyFill="1" applyBorder="1">
      <alignment/>
      <protection/>
    </xf>
    <xf numFmtId="0" fontId="6" fillId="0" borderId="27" xfId="45" applyFont="1" applyFill="1" applyBorder="1" applyAlignment="1">
      <alignment horizontal="left" vertical="top" wrapText="1"/>
      <protection/>
    </xf>
    <xf numFmtId="178" fontId="51" fillId="0" borderId="12" xfId="49" applyNumberFormat="1" applyFill="1" applyBorder="1">
      <alignment/>
      <protection/>
    </xf>
    <xf numFmtId="178" fontId="0" fillId="0" borderId="11" xfId="45" applyNumberFormat="1" applyFont="1" applyFill="1" applyBorder="1">
      <alignment/>
      <protection/>
    </xf>
    <xf numFmtId="178" fontId="9" fillId="0" borderId="10" xfId="45" applyNumberFormat="1" applyFont="1" applyFill="1" applyBorder="1">
      <alignment/>
      <protection/>
    </xf>
    <xf numFmtId="178" fontId="0" fillId="0" borderId="30" xfId="45" applyNumberFormat="1" applyFill="1" applyBorder="1">
      <alignment/>
      <protection/>
    </xf>
    <xf numFmtId="178" fontId="6" fillId="33" borderId="30" xfId="45" applyNumberFormat="1" applyFont="1" applyFill="1" applyBorder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3" fillId="0" borderId="78" xfId="0" applyFont="1" applyBorder="1" applyAlignment="1">
      <alignment vertical="top" wrapText="1"/>
    </xf>
    <xf numFmtId="0" fontId="3" fillId="0" borderId="80" xfId="0" applyFont="1" applyBorder="1" applyAlignment="1">
      <alignment vertical="top" wrapText="1"/>
    </xf>
    <xf numFmtId="0" fontId="3" fillId="0" borderId="79" xfId="0" applyFont="1" applyFill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2" fillId="0" borderId="80" xfId="0" applyFont="1" applyBorder="1" applyAlignment="1">
      <alignment vertical="top" wrapText="1"/>
    </xf>
    <xf numFmtId="176" fontId="2" fillId="0" borderId="79" xfId="0" applyNumberFormat="1" applyFont="1" applyFill="1" applyBorder="1" applyAlignment="1">
      <alignment horizontal="center" vertical="top" wrapText="1"/>
    </xf>
    <xf numFmtId="14" fontId="1" fillId="0" borderId="78" xfId="0" applyNumberFormat="1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176" fontId="1" fillId="0" borderId="79" xfId="0" applyNumberFormat="1" applyFont="1" applyFill="1" applyBorder="1" applyAlignment="1">
      <alignment horizontal="center" vertical="top" wrapText="1"/>
    </xf>
    <xf numFmtId="2" fontId="1" fillId="0" borderId="79" xfId="0" applyNumberFormat="1" applyFont="1" applyFill="1" applyBorder="1" applyAlignment="1">
      <alignment horizontal="center" vertical="top" wrapText="1"/>
    </xf>
    <xf numFmtId="178" fontId="1" fillId="0" borderId="79" xfId="0" applyNumberFormat="1" applyFont="1" applyFill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1" fillId="0" borderId="41" xfId="0" applyFont="1" applyBorder="1" applyAlignment="1">
      <alignment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wrapText="1"/>
    </xf>
    <xf numFmtId="0" fontId="1" fillId="0" borderId="79" xfId="0" applyFont="1" applyFill="1" applyBorder="1" applyAlignment="1">
      <alignment horizontal="center" vertical="top" wrapText="1"/>
    </xf>
    <xf numFmtId="178" fontId="2" fillId="0" borderId="79" xfId="0" applyNumberFormat="1" applyFont="1" applyFill="1" applyBorder="1" applyAlignment="1">
      <alignment horizontal="center" vertical="top" wrapText="1"/>
    </xf>
    <xf numFmtId="0" fontId="2" fillId="0" borderId="66" xfId="0" applyFont="1" applyBorder="1" applyAlignment="1">
      <alignment vertical="top" wrapText="1"/>
    </xf>
    <xf numFmtId="178" fontId="2" fillId="0" borderId="70" xfId="0" applyNumberFormat="1" applyFont="1" applyFill="1" applyBorder="1" applyAlignment="1">
      <alignment horizontal="center" vertical="top" wrapText="1"/>
    </xf>
    <xf numFmtId="178" fontId="1" fillId="0" borderId="66" xfId="0" applyNumberFormat="1" applyFont="1" applyFill="1" applyBorder="1" applyAlignment="1">
      <alignment horizontal="center"/>
    </xf>
    <xf numFmtId="178" fontId="1" fillId="0" borderId="19" xfId="0" applyNumberFormat="1" applyFont="1" applyFill="1" applyBorder="1" applyAlignment="1">
      <alignment horizontal="center"/>
    </xf>
    <xf numFmtId="0" fontId="1" fillId="0" borderId="79" xfId="0" applyFont="1" applyBorder="1" applyAlignment="1">
      <alignment/>
    </xf>
    <xf numFmtId="178" fontId="1" fillId="0" borderId="7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2" fillId="0" borderId="79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67" fillId="0" borderId="12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2" fillId="0" borderId="55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26" fillId="0" borderId="12" xfId="0" applyFont="1" applyFill="1" applyBorder="1" applyAlignment="1">
      <alignment vertical="top" wrapText="1"/>
    </xf>
    <xf numFmtId="178" fontId="24" fillId="0" borderId="12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 wrapText="1"/>
    </xf>
    <xf numFmtId="0" fontId="2" fillId="0" borderId="55" xfId="0" applyFont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0" fontId="9" fillId="33" borderId="68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67" xfId="0" applyFont="1" applyBorder="1" applyAlignment="1">
      <alignment/>
    </xf>
    <xf numFmtId="0" fontId="3" fillId="0" borderId="18" xfId="0" applyFont="1" applyBorder="1" applyAlignment="1">
      <alignment/>
    </xf>
    <xf numFmtId="0" fontId="0" fillId="35" borderId="24" xfId="0" applyFont="1" applyFill="1" applyBorder="1" applyAlignment="1">
      <alignment/>
    </xf>
    <xf numFmtId="0" fontId="3" fillId="35" borderId="76" xfId="0" applyFont="1" applyFill="1" applyBorder="1" applyAlignment="1">
      <alignment/>
    </xf>
    <xf numFmtId="0" fontId="3" fillId="35" borderId="72" xfId="0" applyFont="1" applyFill="1" applyBorder="1" applyAlignment="1">
      <alignment wrapText="1"/>
    </xf>
    <xf numFmtId="0" fontId="3" fillId="35" borderId="81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48" fillId="35" borderId="21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43" applyFont="1" applyFill="1" applyBorder="1" applyAlignment="1">
      <alignment horizontal="center"/>
      <protection/>
    </xf>
    <xf numFmtId="0" fontId="3" fillId="0" borderId="12" xfId="43" applyFont="1" applyFill="1" applyBorder="1" applyAlignment="1">
      <alignment wrapText="1"/>
      <protection/>
    </xf>
    <xf numFmtId="0" fontId="3" fillId="0" borderId="10" xfId="43" applyFont="1" applyFill="1" applyBorder="1" applyAlignment="1">
      <alignment horizontal="center"/>
      <protection/>
    </xf>
    <xf numFmtId="0" fontId="3" fillId="35" borderId="21" xfId="43" applyFont="1" applyFill="1" applyBorder="1" applyAlignment="1">
      <alignment horizontal="center"/>
      <protection/>
    </xf>
    <xf numFmtId="0" fontId="3" fillId="35" borderId="12" xfId="43" applyFont="1" applyFill="1" applyBorder="1" applyAlignment="1">
      <alignment horizontal="center"/>
      <protection/>
    </xf>
    <xf numFmtId="2" fontId="3" fillId="35" borderId="12" xfId="43" applyNumberFormat="1" applyFont="1" applyFill="1" applyBorder="1" applyAlignment="1">
      <alignment horizontal="center"/>
      <protection/>
    </xf>
    <xf numFmtId="0" fontId="3" fillId="0" borderId="10" xfId="43" applyFont="1" applyFill="1" applyBorder="1" applyAlignment="1">
      <alignment horizontal="left" vertical="top" wrapText="1"/>
      <protection/>
    </xf>
    <xf numFmtId="4" fontId="3" fillId="0" borderId="12" xfId="0" applyNumberFormat="1" applyFont="1" applyFill="1" applyBorder="1" applyAlignment="1">
      <alignment horizontal="center"/>
    </xf>
    <xf numFmtId="176" fontId="48" fillId="35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43" applyFont="1" applyFill="1" applyBorder="1" applyAlignment="1">
      <alignment horizontal="center" wrapText="1"/>
      <protection/>
    </xf>
    <xf numFmtId="0" fontId="3" fillId="0" borderId="10" xfId="43" applyFont="1" applyFill="1" applyBorder="1" applyAlignment="1">
      <alignment wrapText="1"/>
      <protection/>
    </xf>
    <xf numFmtId="0" fontId="3" fillId="35" borderId="2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4" fontId="28" fillId="35" borderId="36" xfId="0" applyNumberFormat="1" applyFont="1" applyFill="1" applyBorder="1" applyAlignment="1">
      <alignment horizontal="center"/>
    </xf>
    <xf numFmtId="4" fontId="28" fillId="35" borderId="35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 wrapText="1"/>
    </xf>
    <xf numFmtId="0" fontId="3" fillId="0" borderId="12" xfId="45" applyFont="1" applyFill="1" applyBorder="1" applyAlignment="1">
      <alignment wrapText="1"/>
      <protection/>
    </xf>
    <xf numFmtId="0" fontId="3" fillId="0" borderId="12" xfId="45" applyFont="1" applyFill="1" applyBorder="1" applyAlignment="1">
      <alignment horizontal="center" wrapText="1"/>
      <protection/>
    </xf>
    <xf numFmtId="0" fontId="3" fillId="0" borderId="12" xfId="45" applyFont="1" applyFill="1" applyBorder="1" applyAlignment="1">
      <alignment horizontal="center"/>
      <protection/>
    </xf>
    <xf numFmtId="0" fontId="3" fillId="0" borderId="10" xfId="45" applyFont="1" applyFill="1" applyBorder="1" applyAlignment="1">
      <alignment horizontal="center"/>
      <protection/>
    </xf>
    <xf numFmtId="0" fontId="3" fillId="35" borderId="21" xfId="45" applyFont="1" applyFill="1" applyBorder="1" applyAlignment="1">
      <alignment horizontal="center"/>
      <protection/>
    </xf>
    <xf numFmtId="0" fontId="3" fillId="35" borderId="12" xfId="45" applyFont="1" applyFill="1" applyBorder="1" applyAlignment="1">
      <alignment horizontal="center"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5" xfId="43" applyFont="1" applyFill="1" applyBorder="1" applyAlignment="1">
      <alignment horizontal="left" wrapText="1"/>
      <protection/>
    </xf>
    <xf numFmtId="0" fontId="3" fillId="0" borderId="82" xfId="40" applyFont="1" applyFill="1" applyBorder="1" applyAlignment="1">
      <alignment horizontal="center" wrapText="1"/>
      <protection/>
    </xf>
    <xf numFmtId="0" fontId="3" fillId="0" borderId="83" xfId="40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0" borderId="84" xfId="40" applyFont="1" applyFill="1" applyBorder="1" applyAlignment="1">
      <alignment horizontal="center" wrapText="1"/>
      <protection/>
    </xf>
    <xf numFmtId="0" fontId="3" fillId="35" borderId="85" xfId="40" applyFont="1" applyFill="1" applyBorder="1" applyAlignment="1">
      <alignment horizontal="center" wrapText="1"/>
      <protection/>
    </xf>
    <xf numFmtId="0" fontId="3" fillId="35" borderId="82" xfId="40" applyFont="1" applyFill="1" applyBorder="1" applyAlignment="1">
      <alignment horizontal="center" wrapText="1"/>
      <protection/>
    </xf>
    <xf numFmtId="0" fontId="3" fillId="35" borderId="86" xfId="40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 wrapText="1"/>
      <protection/>
    </xf>
    <xf numFmtId="4" fontId="3" fillId="0" borderId="20" xfId="43" applyNumberFormat="1" applyFont="1" applyFill="1" applyBorder="1" applyAlignment="1">
      <alignment horizontal="center" wrapText="1"/>
      <protection/>
    </xf>
    <xf numFmtId="0" fontId="3" fillId="0" borderId="69" xfId="43" applyFont="1" applyFill="1" applyBorder="1" applyAlignment="1">
      <alignment horizontal="center" wrapText="1"/>
      <protection/>
    </xf>
    <xf numFmtId="0" fontId="3" fillId="35" borderId="29" xfId="43" applyFont="1" applyFill="1" applyBorder="1" applyAlignment="1">
      <alignment horizontal="center" wrapText="1"/>
      <protection/>
    </xf>
    <xf numFmtId="0" fontId="3" fillId="35" borderId="26" xfId="43" applyFont="1" applyFill="1" applyBorder="1" applyAlignment="1">
      <alignment horizontal="center" wrapText="1"/>
      <protection/>
    </xf>
    <xf numFmtId="0" fontId="3" fillId="0" borderId="63" xfId="43" applyFont="1" applyFill="1" applyBorder="1" applyAlignment="1">
      <alignment horizontal="center" wrapText="1"/>
      <protection/>
    </xf>
    <xf numFmtId="2" fontId="3" fillId="0" borderId="12" xfId="43" applyNumberFormat="1" applyFont="1" applyFill="1" applyBorder="1" applyAlignment="1">
      <alignment horizontal="center" wrapText="1"/>
      <protection/>
    </xf>
    <xf numFmtId="0" fontId="3" fillId="0" borderId="30" xfId="43" applyFont="1" applyFill="1" applyBorder="1" applyAlignment="1">
      <alignment horizontal="center" wrapText="1"/>
      <protection/>
    </xf>
    <xf numFmtId="0" fontId="3" fillId="35" borderId="27" xfId="43" applyFont="1" applyFill="1" applyBorder="1" applyAlignment="1">
      <alignment horizontal="center" wrapText="1"/>
      <protection/>
    </xf>
    <xf numFmtId="2" fontId="3" fillId="35" borderId="12" xfId="43" applyNumberFormat="1" applyFont="1" applyFill="1" applyBorder="1" applyAlignment="1">
      <alignment horizontal="center" wrapText="1"/>
      <protection/>
    </xf>
    <xf numFmtId="0" fontId="3" fillId="35" borderId="12" xfId="43" applyFont="1" applyFill="1" applyBorder="1" applyAlignment="1">
      <alignment horizontal="center" wrapText="1"/>
      <protection/>
    </xf>
    <xf numFmtId="0" fontId="3" fillId="0" borderId="10" xfId="43" applyFont="1" applyFill="1" applyBorder="1" applyAlignment="1">
      <alignment horizontal="center" wrapText="1"/>
      <protection/>
    </xf>
    <xf numFmtId="0" fontId="3" fillId="35" borderId="29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2" fontId="3" fillId="35" borderId="27" xfId="43" applyNumberFormat="1" applyFont="1" applyFill="1" applyBorder="1" applyAlignment="1">
      <alignment horizontal="center" wrapText="1"/>
      <protection/>
    </xf>
    <xf numFmtId="0" fontId="3" fillId="35" borderId="21" xfId="43" applyFont="1" applyFill="1" applyBorder="1" applyAlignment="1">
      <alignment horizontal="center" wrapText="1"/>
      <protection/>
    </xf>
    <xf numFmtId="178" fontId="6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33" borderId="19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87" xfId="0" applyNumberFormat="1" applyFont="1" applyFill="1" applyBorder="1" applyAlignment="1" applyProtection="1">
      <alignment horizontal="center" vertical="center" wrapText="1"/>
      <protection/>
    </xf>
    <xf numFmtId="0" fontId="8" fillId="33" borderId="87" xfId="0" applyNumberFormat="1" applyFont="1" applyFill="1" applyBorder="1" applyAlignment="1" applyProtection="1">
      <alignment horizontal="center" vertical="center" wrapText="1"/>
      <protection/>
    </xf>
    <xf numFmtId="178" fontId="6" fillId="33" borderId="88" xfId="0" applyNumberFormat="1" applyFont="1" applyFill="1" applyBorder="1" applyAlignment="1" applyProtection="1">
      <alignment/>
      <protection/>
    </xf>
    <xf numFmtId="178" fontId="6" fillId="33" borderId="89" xfId="0" applyNumberFormat="1" applyFont="1" applyFill="1" applyBorder="1" applyAlignment="1" applyProtection="1">
      <alignment/>
      <protection/>
    </xf>
    <xf numFmtId="178" fontId="6" fillId="33" borderId="48" xfId="0" applyNumberFormat="1" applyFont="1" applyFill="1" applyBorder="1" applyAlignment="1" applyProtection="1">
      <alignment/>
      <protection/>
    </xf>
    <xf numFmtId="178" fontId="6" fillId="33" borderId="43" xfId="0" applyNumberFormat="1" applyFont="1" applyFill="1" applyBorder="1" applyAlignment="1" applyProtection="1">
      <alignment/>
      <protection/>
    </xf>
    <xf numFmtId="178" fontId="6" fillId="33" borderId="90" xfId="0" applyNumberFormat="1" applyFont="1" applyFill="1" applyBorder="1" applyAlignment="1" applyProtection="1">
      <alignment/>
      <protection/>
    </xf>
    <xf numFmtId="178" fontId="6" fillId="33" borderId="42" xfId="0" applyNumberFormat="1" applyFont="1" applyFill="1" applyBorder="1" applyAlignment="1" applyProtection="1">
      <alignment/>
      <protection/>
    </xf>
    <xf numFmtId="178" fontId="6" fillId="33" borderId="91" xfId="0" applyNumberFormat="1" applyFont="1" applyFill="1" applyBorder="1" applyAlignment="1" applyProtection="1">
      <alignment/>
      <protection/>
    </xf>
    <xf numFmtId="178" fontId="6" fillId="33" borderId="92" xfId="0" applyNumberFormat="1" applyFont="1" applyFill="1" applyBorder="1" applyAlignment="1" applyProtection="1">
      <alignment/>
      <protection/>
    </xf>
    <xf numFmtId="0" fontId="0" fillId="33" borderId="93" xfId="0" applyNumberFormat="1" applyFont="1" applyFill="1" applyBorder="1" applyAlignment="1" applyProtection="1">
      <alignment horizontal="center" vertical="center" wrapText="1"/>
      <protection/>
    </xf>
    <xf numFmtId="178" fontId="6" fillId="33" borderId="94" xfId="0" applyNumberFormat="1" applyFont="1" applyFill="1" applyBorder="1" applyAlignment="1" applyProtection="1">
      <alignment horizontal="right" vertical="center" wrapText="1"/>
      <protection/>
    </xf>
    <xf numFmtId="178" fontId="6" fillId="33" borderId="94" xfId="0" applyNumberFormat="1" applyFont="1" applyFill="1" applyBorder="1" applyAlignment="1" applyProtection="1">
      <alignment/>
      <protection/>
    </xf>
    <xf numFmtId="178" fontId="6" fillId="33" borderId="93" xfId="0" applyNumberFormat="1" applyFont="1" applyFill="1" applyBorder="1" applyAlignment="1" applyProtection="1">
      <alignment/>
      <protection/>
    </xf>
    <xf numFmtId="178" fontId="0" fillId="33" borderId="95" xfId="0" applyNumberFormat="1" applyFont="1" applyFill="1" applyBorder="1" applyAlignment="1" applyProtection="1">
      <alignment/>
      <protection/>
    </xf>
    <xf numFmtId="0" fontId="0" fillId="33" borderId="96" xfId="0" applyNumberFormat="1" applyFont="1" applyFill="1" applyBorder="1" applyAlignment="1" applyProtection="1">
      <alignment horizontal="center" vertical="center" wrapText="1"/>
      <protection/>
    </xf>
    <xf numFmtId="178" fontId="0" fillId="33" borderId="97" xfId="0" applyNumberFormat="1" applyFont="1" applyFill="1" applyBorder="1" applyAlignment="1" applyProtection="1">
      <alignment horizontal="right" vertical="center" wrapText="1"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0" fontId="0" fillId="33" borderId="97" xfId="0" applyNumberFormat="1" applyFont="1" applyFill="1" applyBorder="1" applyAlignment="1" applyProtection="1">
      <alignment horizontal="right" vertical="center" wrapText="1"/>
      <protection/>
    </xf>
    <xf numFmtId="178" fontId="6" fillId="33" borderId="97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0" fontId="9" fillId="33" borderId="19" xfId="0" applyFont="1" applyFill="1" applyBorder="1" applyAlignment="1">
      <alignment/>
    </xf>
    <xf numFmtId="178" fontId="6" fillId="33" borderId="95" xfId="0" applyNumberFormat="1" applyFont="1" applyFill="1" applyBorder="1" applyAlignment="1" applyProtection="1">
      <alignment/>
      <protection/>
    </xf>
    <xf numFmtId="178" fontId="6" fillId="33" borderId="99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/>
      <protection/>
    </xf>
    <xf numFmtId="178" fontId="0" fillId="33" borderId="95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9" fillId="33" borderId="95" xfId="0" applyNumberFormat="1" applyFont="1" applyFill="1" applyBorder="1" applyAlignment="1" applyProtection="1">
      <alignment/>
      <protection/>
    </xf>
    <xf numFmtId="178" fontId="9" fillId="33" borderId="97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103" xfId="0" applyNumberFormat="1" applyFont="1" applyFill="1" applyBorder="1" applyAlignment="1" applyProtection="1">
      <alignment/>
      <protection/>
    </xf>
    <xf numFmtId="178" fontId="6" fillId="33" borderId="104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6" fillId="33" borderId="105" xfId="0" applyNumberFormat="1" applyFont="1" applyFill="1" applyBorder="1" applyAlignment="1" applyProtection="1">
      <alignment/>
      <protection/>
    </xf>
    <xf numFmtId="178" fontId="0" fillId="33" borderId="93" xfId="0" applyNumberFormat="1" applyFont="1" applyFill="1" applyBorder="1" applyAlignment="1" applyProtection="1">
      <alignment/>
      <protection/>
    </xf>
    <xf numFmtId="178" fontId="6" fillId="33" borderId="106" xfId="0" applyNumberFormat="1" applyFont="1" applyFill="1" applyBorder="1" applyAlignment="1" applyProtection="1">
      <alignment/>
      <protection/>
    </xf>
    <xf numFmtId="178" fontId="6" fillId="33" borderId="107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6" fillId="33" borderId="109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 wrapText="1"/>
      <protection/>
    </xf>
    <xf numFmtId="178" fontId="6" fillId="33" borderId="97" xfId="0" applyNumberFormat="1" applyFont="1" applyFill="1" applyBorder="1" applyAlignment="1" applyProtection="1">
      <alignment wrapText="1"/>
      <protection/>
    </xf>
    <xf numFmtId="178" fontId="0" fillId="33" borderId="97" xfId="0" applyNumberFormat="1" applyFont="1" applyFill="1" applyBorder="1" applyAlignment="1" applyProtection="1">
      <alignment vertical="top" wrapText="1"/>
      <protection/>
    </xf>
    <xf numFmtId="178" fontId="0" fillId="33" borderId="96" xfId="0" applyNumberFormat="1" applyFont="1" applyFill="1" applyBorder="1" applyAlignment="1" applyProtection="1">
      <alignment vertical="top" wrapText="1"/>
      <protection/>
    </xf>
    <xf numFmtId="0" fontId="9" fillId="33" borderId="19" xfId="0" applyFont="1" applyFill="1" applyBorder="1" applyAlignment="1">
      <alignment vertical="top" wrapText="1"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>
      <alignment/>
    </xf>
    <xf numFmtId="0" fontId="0" fillId="33" borderId="110" xfId="0" applyNumberFormat="1" applyFont="1" applyFill="1" applyBorder="1" applyAlignment="1" applyProtection="1">
      <alignment vertical="top"/>
      <protection/>
    </xf>
    <xf numFmtId="178" fontId="6" fillId="33" borderId="55" xfId="0" applyNumberFormat="1" applyFont="1" applyFill="1" applyBorder="1" applyAlignment="1" applyProtection="1">
      <alignment/>
      <protection/>
    </xf>
    <xf numFmtId="178" fontId="0" fillId="33" borderId="106" xfId="0" applyNumberFormat="1" applyFont="1" applyFill="1" applyBorder="1" applyAlignment="1" applyProtection="1">
      <alignment/>
      <protection/>
    </xf>
    <xf numFmtId="0" fontId="0" fillId="33" borderId="100" xfId="0" applyNumberFormat="1" applyFont="1" applyFill="1" applyBorder="1" applyAlignment="1" applyProtection="1">
      <alignment vertical="top"/>
      <protection/>
    </xf>
    <xf numFmtId="178" fontId="0" fillId="33" borderId="12" xfId="0" applyNumberFormat="1" applyFont="1" applyFill="1" applyBorder="1" applyAlignment="1" applyProtection="1">
      <alignment/>
      <protection/>
    </xf>
    <xf numFmtId="0" fontId="0" fillId="33" borderId="96" xfId="0" applyNumberFormat="1" applyFont="1" applyFill="1" applyBorder="1" applyAlignment="1" applyProtection="1">
      <alignment vertical="top"/>
      <protection/>
    </xf>
    <xf numFmtId="178" fontId="6" fillId="33" borderId="111" xfId="0" applyNumberFormat="1" applyFont="1" applyFill="1" applyBorder="1" applyAlignment="1" applyProtection="1">
      <alignment/>
      <protection/>
    </xf>
    <xf numFmtId="178" fontId="6" fillId="33" borderId="112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92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6" fillId="33" borderId="116" xfId="0" applyNumberFormat="1" applyFont="1" applyFill="1" applyBorder="1" applyAlignment="1" applyProtection="1">
      <alignment/>
      <protection/>
    </xf>
    <xf numFmtId="178" fontId="6" fillId="33" borderId="114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0" fillId="33" borderId="97" xfId="0" applyNumberFormat="1" applyFont="1" applyFill="1" applyBorder="1" applyAlignment="1" applyProtection="1">
      <alignment horizontal="center"/>
      <protection/>
    </xf>
    <xf numFmtId="178" fontId="0" fillId="33" borderId="120" xfId="0" applyNumberFormat="1" applyFont="1" applyFill="1" applyBorder="1" applyAlignment="1" applyProtection="1">
      <alignment/>
      <protection/>
    </xf>
    <xf numFmtId="0" fontId="6" fillId="33" borderId="121" xfId="0" applyNumberFormat="1" applyFont="1" applyFill="1" applyBorder="1" applyAlignment="1" applyProtection="1">
      <alignment/>
      <protection/>
    </xf>
    <xf numFmtId="0" fontId="9" fillId="33" borderId="122" xfId="0" applyNumberFormat="1" applyFont="1" applyFill="1" applyBorder="1" applyAlignment="1" applyProtection="1">
      <alignment/>
      <protection/>
    </xf>
    <xf numFmtId="0" fontId="6" fillId="33" borderId="122" xfId="0" applyNumberFormat="1" applyFont="1" applyFill="1" applyBorder="1" applyAlignment="1" applyProtection="1">
      <alignment/>
      <protection/>
    </xf>
    <xf numFmtId="0" fontId="6" fillId="33" borderId="123" xfId="0" applyNumberFormat="1" applyFont="1" applyFill="1" applyBorder="1" applyAlignment="1" applyProtection="1">
      <alignment/>
      <protection/>
    </xf>
    <xf numFmtId="0" fontId="0" fillId="33" borderId="124" xfId="0" applyNumberFormat="1" applyFont="1" applyFill="1" applyBorder="1" applyAlignment="1" applyProtection="1">
      <alignment vertical="top"/>
      <protection/>
    </xf>
    <xf numFmtId="0" fontId="0" fillId="33" borderId="125" xfId="0" applyNumberFormat="1" applyFont="1" applyFill="1" applyBorder="1" applyAlignment="1" applyProtection="1">
      <alignment vertical="top"/>
      <protection/>
    </xf>
    <xf numFmtId="0" fontId="0" fillId="33" borderId="126" xfId="0" applyNumberFormat="1" applyFont="1" applyFill="1" applyBorder="1" applyAlignment="1" applyProtection="1">
      <alignment vertical="top"/>
      <protection/>
    </xf>
    <xf numFmtId="0" fontId="0" fillId="33" borderId="100" xfId="0" applyNumberFormat="1" applyFont="1" applyFill="1" applyBorder="1" applyAlignment="1" applyProtection="1">
      <alignment vertical="top" wrapText="1"/>
      <protection/>
    </xf>
    <xf numFmtId="178" fontId="0" fillId="33" borderId="95" xfId="0" applyNumberFormat="1" applyFont="1" applyFill="1" applyBorder="1" applyAlignment="1" applyProtection="1">
      <alignment wrapText="1"/>
      <protection/>
    </xf>
    <xf numFmtId="178" fontId="0" fillId="33" borderId="102" xfId="0" applyNumberFormat="1" applyFont="1" applyFill="1" applyBorder="1" applyAlignment="1" applyProtection="1">
      <alignment/>
      <protection/>
    </xf>
    <xf numFmtId="0" fontId="18" fillId="33" borderId="127" xfId="0" applyNumberFormat="1" applyFont="1" applyFill="1" applyBorder="1" applyAlignment="1" applyProtection="1">
      <alignment wrapText="1"/>
      <protection/>
    </xf>
    <xf numFmtId="0" fontId="6" fillId="33" borderId="128" xfId="0" applyNumberFormat="1" applyFont="1" applyFill="1" applyBorder="1" applyAlignment="1" applyProtection="1">
      <alignment horizontal="left" vertical="center" wrapText="1"/>
      <protection/>
    </xf>
    <xf numFmtId="0" fontId="9" fillId="33" borderId="122" xfId="0" applyNumberFormat="1" applyFont="1" applyFill="1" applyBorder="1" applyAlignment="1" applyProtection="1">
      <alignment horizontal="left" vertical="center" wrapText="1"/>
      <protection/>
    </xf>
    <xf numFmtId="0" fontId="6" fillId="33" borderId="128" xfId="0" applyNumberFormat="1" applyFont="1" applyFill="1" applyBorder="1" applyAlignment="1" applyProtection="1">
      <alignment/>
      <protection/>
    </xf>
    <xf numFmtId="0" fontId="6" fillId="33" borderId="122" xfId="0" applyNumberFormat="1" applyFont="1" applyFill="1" applyBorder="1" applyAlignment="1" applyProtection="1">
      <alignment vertical="top" wrapText="1"/>
      <protection/>
    </xf>
    <xf numFmtId="0" fontId="9" fillId="33" borderId="122" xfId="0" applyNumberFormat="1" applyFont="1" applyFill="1" applyBorder="1" applyAlignment="1" applyProtection="1">
      <alignment vertical="top" wrapText="1"/>
      <protection/>
    </xf>
    <xf numFmtId="0" fontId="9" fillId="33" borderId="122" xfId="0" applyNumberFormat="1" applyFont="1" applyFill="1" applyBorder="1" applyAlignment="1" applyProtection="1">
      <alignment wrapText="1"/>
      <protection/>
    </xf>
    <xf numFmtId="0" fontId="19" fillId="33" borderId="122" xfId="0" applyNumberFormat="1" applyFont="1" applyFill="1" applyBorder="1" applyAlignment="1" applyProtection="1">
      <alignment/>
      <protection/>
    </xf>
    <xf numFmtId="0" fontId="6" fillId="33" borderId="129" xfId="0" applyNumberFormat="1" applyFont="1" applyFill="1" applyBorder="1" applyAlignment="1" applyProtection="1">
      <alignment/>
      <protection/>
    </xf>
    <xf numFmtId="0" fontId="18" fillId="33" borderId="130" xfId="0" applyNumberFormat="1" applyFont="1" applyFill="1" applyBorder="1" applyAlignment="1" applyProtection="1">
      <alignment wrapText="1"/>
      <protection/>
    </xf>
    <xf numFmtId="0" fontId="6" fillId="33" borderId="122" xfId="0" applyNumberFormat="1" applyFont="1" applyFill="1" applyBorder="1" applyAlignment="1" applyProtection="1">
      <alignment vertical="center"/>
      <protection/>
    </xf>
    <xf numFmtId="0" fontId="6" fillId="33" borderId="131" xfId="0" applyNumberFormat="1" applyFont="1" applyFill="1" applyBorder="1" applyAlignment="1" applyProtection="1">
      <alignment/>
      <protection/>
    </xf>
    <xf numFmtId="0" fontId="9" fillId="33" borderId="131" xfId="0" applyNumberFormat="1" applyFont="1" applyFill="1" applyBorder="1" applyAlignment="1" applyProtection="1">
      <alignment/>
      <protection/>
    </xf>
    <xf numFmtId="0" fontId="18" fillId="33" borderId="130" xfId="0" applyNumberFormat="1" applyFont="1" applyFill="1" applyBorder="1" applyAlignment="1" applyProtection="1">
      <alignment horizontal="left" vertical="center" wrapText="1"/>
      <protection/>
    </xf>
    <xf numFmtId="0" fontId="0" fillId="33" borderId="131" xfId="0" applyNumberFormat="1" applyFont="1" applyFill="1" applyBorder="1" applyAlignment="1" applyProtection="1">
      <alignment/>
      <protection/>
    </xf>
    <xf numFmtId="0" fontId="18" fillId="33" borderId="132" xfId="0" applyNumberFormat="1" applyFont="1" applyFill="1" applyBorder="1" applyAlignment="1" applyProtection="1">
      <alignment wrapText="1"/>
      <protection/>
    </xf>
    <xf numFmtId="0" fontId="18" fillId="33" borderId="133" xfId="0" applyNumberFormat="1" applyFont="1" applyFill="1" applyBorder="1" applyAlignment="1" applyProtection="1">
      <alignment wrapText="1"/>
      <protection/>
    </xf>
    <xf numFmtId="0" fontId="6" fillId="33" borderId="128" xfId="0" applyNumberFormat="1" applyFont="1" applyFill="1" applyBorder="1" applyAlignment="1" applyProtection="1">
      <alignment vertical="top" wrapText="1"/>
      <protection/>
    </xf>
    <xf numFmtId="0" fontId="0" fillId="33" borderId="122" xfId="0" applyNumberFormat="1" applyFont="1" applyFill="1" applyBorder="1" applyAlignment="1" applyProtection="1">
      <alignment/>
      <protection/>
    </xf>
    <xf numFmtId="178" fontId="9" fillId="33" borderId="96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 wrapText="1"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6" fillId="33" borderId="134" xfId="0" applyNumberFormat="1" applyFont="1" applyFill="1" applyBorder="1" applyAlignment="1" applyProtection="1">
      <alignment horizontal="right" vertical="center" wrapText="1"/>
      <protection/>
    </xf>
    <xf numFmtId="178" fontId="6" fillId="33" borderId="135" xfId="0" applyNumberFormat="1" applyFont="1" applyFill="1" applyBorder="1" applyAlignment="1" applyProtection="1">
      <alignment horizontal="right" vertical="center" wrapText="1"/>
      <protection/>
    </xf>
    <xf numFmtId="178" fontId="6" fillId="33" borderId="135" xfId="0" applyNumberFormat="1" applyFont="1" applyFill="1" applyBorder="1" applyAlignment="1" applyProtection="1">
      <alignment/>
      <protection/>
    </xf>
    <xf numFmtId="178" fontId="6" fillId="33" borderId="134" xfId="0" applyNumberFormat="1" applyFont="1" applyFill="1" applyBorder="1" applyAlignment="1" applyProtection="1">
      <alignment/>
      <protection/>
    </xf>
    <xf numFmtId="178" fontId="0" fillId="33" borderId="136" xfId="0" applyNumberFormat="1" applyFont="1" applyFill="1" applyBorder="1" applyAlignment="1" applyProtection="1">
      <alignment/>
      <protection/>
    </xf>
    <xf numFmtId="178" fontId="6" fillId="33" borderId="136" xfId="0" applyNumberFormat="1" applyFont="1" applyFill="1" applyBorder="1" applyAlignment="1" applyProtection="1">
      <alignment/>
      <protection/>
    </xf>
    <xf numFmtId="178" fontId="11" fillId="33" borderId="114" xfId="0" applyNumberFormat="1" applyFont="1" applyFill="1" applyBorder="1" applyAlignment="1" applyProtection="1">
      <alignment/>
      <protection/>
    </xf>
    <xf numFmtId="178" fontId="0" fillId="33" borderId="116" xfId="0" applyNumberFormat="1" applyFont="1" applyFill="1" applyBorder="1" applyAlignment="1" applyProtection="1">
      <alignment/>
      <protection/>
    </xf>
    <xf numFmtId="178" fontId="6" fillId="33" borderId="115" xfId="0" applyNumberFormat="1" applyFont="1" applyFill="1" applyBorder="1" applyAlignment="1" applyProtection="1">
      <alignment/>
      <protection/>
    </xf>
    <xf numFmtId="178" fontId="9" fillId="33" borderId="114" xfId="0" applyNumberFormat="1" applyFont="1" applyFill="1" applyBorder="1" applyAlignment="1" applyProtection="1">
      <alignment/>
      <protection/>
    </xf>
    <xf numFmtId="178" fontId="9" fillId="33" borderId="115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6" fillId="33" borderId="137" xfId="0" applyNumberFormat="1" applyFont="1" applyFill="1" applyBorder="1" applyAlignment="1" applyProtection="1">
      <alignment/>
      <protection/>
    </xf>
    <xf numFmtId="178" fontId="0" fillId="33" borderId="138" xfId="0" applyNumberFormat="1" applyFont="1" applyFill="1" applyBorder="1" applyAlignment="1" applyProtection="1">
      <alignment/>
      <protection/>
    </xf>
    <xf numFmtId="178" fontId="6" fillId="33" borderId="139" xfId="0" applyNumberFormat="1" applyFont="1" applyFill="1" applyBorder="1" applyAlignment="1" applyProtection="1">
      <alignment/>
      <protection/>
    </xf>
    <xf numFmtId="178" fontId="6" fillId="33" borderId="140" xfId="0" applyNumberFormat="1" applyFont="1" applyFill="1" applyBorder="1" applyAlignment="1" applyProtection="1">
      <alignment/>
      <protection/>
    </xf>
    <xf numFmtId="178" fontId="6" fillId="33" borderId="141" xfId="0" applyNumberFormat="1" applyFont="1" applyFill="1" applyBorder="1" applyAlignment="1" applyProtection="1">
      <alignment/>
      <protection/>
    </xf>
    <xf numFmtId="178" fontId="0" fillId="33" borderId="142" xfId="0" applyNumberFormat="1" applyFont="1" applyFill="1" applyBorder="1" applyAlignment="1" applyProtection="1">
      <alignment/>
      <protection/>
    </xf>
    <xf numFmtId="178" fontId="6" fillId="33" borderId="120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6" fillId="33" borderId="143" xfId="0" applyNumberFormat="1" applyFont="1" applyFill="1" applyBorder="1" applyAlignment="1" applyProtection="1">
      <alignment/>
      <protection/>
    </xf>
    <xf numFmtId="178" fontId="0" fillId="33" borderId="144" xfId="0" applyNumberFormat="1" applyFont="1" applyFill="1" applyBorder="1" applyAlignment="1" applyProtection="1">
      <alignment/>
      <protection/>
    </xf>
    <xf numFmtId="178" fontId="0" fillId="33" borderId="138" xfId="0" applyNumberFormat="1" applyFont="1" applyFill="1" applyBorder="1" applyAlignment="1" applyProtection="1">
      <alignment/>
      <protection/>
    </xf>
    <xf numFmtId="178" fontId="6" fillId="33" borderId="144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 wrapText="1"/>
      <protection/>
    </xf>
    <xf numFmtId="178" fontId="0" fillId="33" borderId="115" xfId="0" applyNumberFormat="1" applyFont="1" applyFill="1" applyBorder="1" applyAlignment="1" applyProtection="1">
      <alignment vertical="top" wrapText="1"/>
      <protection/>
    </xf>
    <xf numFmtId="178" fontId="6" fillId="33" borderId="114" xfId="0" applyNumberFormat="1" applyFont="1" applyFill="1" applyBorder="1" applyAlignment="1" applyProtection="1">
      <alignment wrapText="1"/>
      <protection/>
    </xf>
    <xf numFmtId="178" fontId="6" fillId="33" borderId="145" xfId="0" applyNumberFormat="1" applyFont="1" applyFill="1" applyBorder="1" applyAlignment="1" applyProtection="1">
      <alignment/>
      <protection/>
    </xf>
    <xf numFmtId="178" fontId="6" fillId="33" borderId="138" xfId="0" applyNumberFormat="1" applyFont="1" applyFill="1" applyBorder="1" applyAlignment="1" applyProtection="1">
      <alignment/>
      <protection/>
    </xf>
    <xf numFmtId="178" fontId="6" fillId="33" borderId="146" xfId="0" applyNumberFormat="1" applyFont="1" applyFill="1" applyBorder="1" applyAlignment="1" applyProtection="1">
      <alignment/>
      <protection/>
    </xf>
    <xf numFmtId="178" fontId="6" fillId="33" borderId="147" xfId="0" applyNumberFormat="1" applyFont="1" applyFill="1" applyBorder="1" applyAlignment="1" applyProtection="1">
      <alignment/>
      <protection/>
    </xf>
    <xf numFmtId="178" fontId="0" fillId="33" borderId="148" xfId="0" applyNumberFormat="1" applyFont="1" applyFill="1" applyBorder="1" applyAlignment="1" applyProtection="1">
      <alignment/>
      <protection/>
    </xf>
    <xf numFmtId="178" fontId="6" fillId="33" borderId="149" xfId="0" applyNumberFormat="1" applyFont="1" applyFill="1" applyBorder="1" applyAlignment="1" applyProtection="1">
      <alignment/>
      <protection/>
    </xf>
    <xf numFmtId="178" fontId="6" fillId="33" borderId="150" xfId="0" applyNumberFormat="1" applyFont="1" applyFill="1" applyBorder="1" applyAlignment="1" applyProtection="1">
      <alignment/>
      <protection/>
    </xf>
    <xf numFmtId="178" fontId="6" fillId="33" borderId="151" xfId="0" applyNumberFormat="1" applyFont="1" applyFill="1" applyBorder="1" applyAlignment="1" applyProtection="1">
      <alignment/>
      <protection/>
    </xf>
    <xf numFmtId="178" fontId="6" fillId="33" borderId="152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4" xfId="0" applyNumberFormat="1" applyFont="1" applyFill="1" applyBorder="1" applyAlignment="1" applyProtection="1">
      <alignment/>
      <protection/>
    </xf>
    <xf numFmtId="178" fontId="0" fillId="33" borderId="155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 vertical="top" wrapText="1"/>
      <protection/>
    </xf>
    <xf numFmtId="178" fontId="6" fillId="33" borderId="154" xfId="0" applyNumberFormat="1" applyFont="1" applyFill="1" applyBorder="1" applyAlignment="1" applyProtection="1">
      <alignment/>
      <protection/>
    </xf>
    <xf numFmtId="178" fontId="6" fillId="33" borderId="155" xfId="0" applyNumberFormat="1" applyFont="1" applyFill="1" applyBorder="1" applyAlignment="1" applyProtection="1">
      <alignment/>
      <protection/>
    </xf>
    <xf numFmtId="178" fontId="0" fillId="33" borderId="141" xfId="0" applyNumberFormat="1" applyFont="1" applyFill="1" applyBorder="1" applyAlignment="1" applyProtection="1">
      <alignment/>
      <protection/>
    </xf>
    <xf numFmtId="178" fontId="0" fillId="33" borderId="134" xfId="0" applyNumberFormat="1" applyFont="1" applyFill="1" applyBorder="1" applyAlignment="1" applyProtection="1">
      <alignment/>
      <protection/>
    </xf>
    <xf numFmtId="178" fontId="0" fillId="33" borderId="135" xfId="0" applyNumberFormat="1" applyFont="1" applyFill="1" applyBorder="1" applyAlignment="1" applyProtection="1">
      <alignment/>
      <protection/>
    </xf>
    <xf numFmtId="178" fontId="0" fillId="33" borderId="63" xfId="0" applyNumberFormat="1" applyFont="1" applyFill="1" applyBorder="1" applyAlignment="1" applyProtection="1">
      <alignment/>
      <protection/>
    </xf>
    <xf numFmtId="178" fontId="0" fillId="33" borderId="137" xfId="0" applyNumberFormat="1" applyFont="1" applyFill="1" applyBorder="1" applyAlignment="1" applyProtection="1">
      <alignment/>
      <protection/>
    </xf>
    <xf numFmtId="178" fontId="6" fillId="33" borderId="118" xfId="0" applyNumberFormat="1" applyFont="1" applyFill="1" applyBorder="1" applyAlignment="1" applyProtection="1">
      <alignment/>
      <protection/>
    </xf>
    <xf numFmtId="178" fontId="6" fillId="33" borderId="114" xfId="0" applyNumberFormat="1" applyFont="1" applyFill="1" applyBorder="1" applyAlignment="1" applyProtection="1">
      <alignment vertical="top" wrapText="1"/>
      <protection/>
    </xf>
    <xf numFmtId="178" fontId="0" fillId="33" borderId="156" xfId="0" applyNumberFormat="1" applyFont="1" applyFill="1" applyBorder="1" applyAlignment="1" applyProtection="1">
      <alignment/>
      <protection/>
    </xf>
    <xf numFmtId="0" fontId="9" fillId="0" borderId="65" xfId="0" applyFont="1" applyBorder="1" applyAlignment="1">
      <alignment vertical="top" wrapText="1"/>
    </xf>
    <xf numFmtId="0" fontId="0" fillId="33" borderId="28" xfId="0" applyNumberFormat="1" applyFont="1" applyFill="1" applyBorder="1" applyAlignment="1" applyProtection="1">
      <alignment vertical="top"/>
      <protection/>
    </xf>
    <xf numFmtId="0" fontId="9" fillId="33" borderId="25" xfId="0" applyNumberFormat="1" applyFont="1" applyFill="1" applyBorder="1" applyAlignment="1" applyProtection="1">
      <alignment vertical="top" wrapText="1"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6" fillId="33" borderId="27" xfId="0" applyNumberFormat="1" applyFont="1" applyFill="1" applyBorder="1" applyAlignment="1" applyProtection="1">
      <alignment/>
      <protection/>
    </xf>
    <xf numFmtId="178" fontId="6" fillId="33" borderId="28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0" fontId="0" fillId="33" borderId="48" xfId="0" applyNumberFormat="1" applyFont="1" applyFill="1" applyBorder="1" applyAlignment="1" applyProtection="1">
      <alignment vertical="top"/>
      <protection/>
    </xf>
    <xf numFmtId="0" fontId="6" fillId="33" borderId="41" xfId="0" applyNumberFormat="1" applyFont="1" applyFill="1" applyBorder="1" applyAlignment="1" applyProtection="1">
      <alignment/>
      <protection/>
    </xf>
    <xf numFmtId="178" fontId="6" fillId="33" borderId="157" xfId="0" applyNumberFormat="1" applyFont="1" applyFill="1" applyBorder="1" applyAlignment="1" applyProtection="1">
      <alignment/>
      <protection/>
    </xf>
    <xf numFmtId="178" fontId="6" fillId="33" borderId="158" xfId="0" applyNumberFormat="1" applyFont="1" applyFill="1" applyBorder="1" applyAlignment="1" applyProtection="1">
      <alignment/>
      <protection/>
    </xf>
    <xf numFmtId="178" fontId="6" fillId="33" borderId="159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6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80" xfId="0" applyFont="1" applyBorder="1" applyAlignment="1">
      <alignment vertical="top" wrapText="1"/>
    </xf>
    <xf numFmtId="0" fontId="29" fillId="0" borderId="41" xfId="0" applyFont="1" applyBorder="1" applyAlignment="1">
      <alignment vertical="top" wrapText="1"/>
    </xf>
    <xf numFmtId="0" fontId="29" fillId="0" borderId="41" xfId="0" applyFont="1" applyFill="1" applyBorder="1" applyAlignment="1">
      <alignment horizontal="center" vertical="top" wrapText="1"/>
    </xf>
    <xf numFmtId="0" fontId="29" fillId="0" borderId="78" xfId="0" applyFont="1" applyBorder="1" applyAlignment="1">
      <alignment vertical="top" wrapText="1"/>
    </xf>
    <xf numFmtId="2" fontId="30" fillId="0" borderId="79" xfId="0" applyNumberFormat="1" applyFont="1" applyFill="1" applyBorder="1" applyAlignment="1">
      <alignment horizontal="center" vertical="top" wrapText="1"/>
    </xf>
    <xf numFmtId="0" fontId="29" fillId="36" borderId="79" xfId="0" applyFont="1" applyFill="1" applyBorder="1" applyAlignment="1">
      <alignment vertical="top" wrapText="1"/>
    </xf>
    <xf numFmtId="0" fontId="29" fillId="36" borderId="41" xfId="0" applyFont="1" applyFill="1" applyBorder="1" applyAlignment="1">
      <alignment vertical="top" wrapText="1"/>
    </xf>
    <xf numFmtId="0" fontId="29" fillId="36" borderId="41" xfId="0" applyFont="1" applyFill="1" applyBorder="1" applyAlignment="1">
      <alignment wrapText="1"/>
    </xf>
    <xf numFmtId="0" fontId="29" fillId="36" borderId="79" xfId="0" applyFont="1" applyFill="1" applyBorder="1" applyAlignment="1">
      <alignment horizontal="center" vertical="top" wrapText="1"/>
    </xf>
    <xf numFmtId="0" fontId="1" fillId="36" borderId="79" xfId="0" applyFont="1" applyFill="1" applyBorder="1" applyAlignment="1">
      <alignment vertical="top" wrapText="1"/>
    </xf>
    <xf numFmtId="0" fontId="1" fillId="36" borderId="78" xfId="0" applyFont="1" applyFill="1" applyBorder="1" applyAlignment="1">
      <alignment vertical="top" wrapText="1"/>
    </xf>
    <xf numFmtId="0" fontId="1" fillId="36" borderId="80" xfId="0" applyFont="1" applyFill="1" applyBorder="1" applyAlignment="1">
      <alignment wrapText="1"/>
    </xf>
    <xf numFmtId="0" fontId="1" fillId="36" borderId="79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wrapText="1"/>
    </xf>
    <xf numFmtId="178" fontId="2" fillId="0" borderId="55" xfId="0" applyNumberFormat="1" applyFont="1" applyBorder="1" applyAlignment="1">
      <alignment/>
    </xf>
    <xf numFmtId="0" fontId="1" fillId="36" borderId="12" xfId="0" applyFont="1" applyFill="1" applyBorder="1" applyAlignment="1">
      <alignment horizontal="right" vertical="top" wrapText="1"/>
    </xf>
    <xf numFmtId="176" fontId="1" fillId="36" borderId="12" xfId="0" applyNumberFormat="1" applyFont="1" applyFill="1" applyBorder="1" applyAlignment="1">
      <alignment horizontal="right" vertical="top" wrapText="1"/>
    </xf>
    <xf numFmtId="176" fontId="2" fillId="0" borderId="12" xfId="0" applyNumberFormat="1" applyFont="1" applyFill="1" applyBorder="1" applyAlignment="1">
      <alignment/>
    </xf>
    <xf numFmtId="0" fontId="2" fillId="36" borderId="20" xfId="0" applyFont="1" applyFill="1" applyBorder="1" applyAlignment="1">
      <alignment wrapText="1"/>
    </xf>
    <xf numFmtId="178" fontId="0" fillId="36" borderId="21" xfId="0" applyNumberFormat="1" applyFont="1" applyFill="1" applyBorder="1" applyAlignment="1">
      <alignment/>
    </xf>
    <xf numFmtId="178" fontId="0" fillId="36" borderId="20" xfId="0" applyNumberFormat="1" applyFont="1" applyFill="1" applyBorder="1" applyAlignment="1">
      <alignment/>
    </xf>
    <xf numFmtId="178" fontId="0" fillId="36" borderId="12" xfId="0" applyNumberFormat="1" applyFont="1" applyFill="1" applyBorder="1" applyAlignment="1">
      <alignment/>
    </xf>
    <xf numFmtId="178" fontId="0" fillId="36" borderId="11" xfId="0" applyNumberFormat="1" applyFont="1" applyFill="1" applyBorder="1" applyAlignment="1">
      <alignment/>
    </xf>
    <xf numFmtId="182" fontId="0" fillId="36" borderId="21" xfId="0" applyNumberFormat="1" applyFont="1" applyFill="1" applyBorder="1" applyAlignment="1">
      <alignment/>
    </xf>
    <xf numFmtId="182" fontId="0" fillId="36" borderId="10" xfId="0" applyNumberFormat="1" applyFont="1" applyFill="1" applyBorder="1" applyAlignment="1">
      <alignment/>
    </xf>
    <xf numFmtId="178" fontId="0" fillId="36" borderId="10" xfId="0" applyNumberFormat="1" applyFont="1" applyFill="1" applyBorder="1" applyAlignment="1">
      <alignment/>
    </xf>
    <xf numFmtId="178" fontId="6" fillId="36" borderId="21" xfId="0" applyNumberFormat="1" applyFont="1" applyFill="1" applyBorder="1" applyAlignment="1">
      <alignment/>
    </xf>
    <xf numFmtId="178" fontId="6" fillId="36" borderId="12" xfId="0" applyNumberFormat="1" applyFont="1" applyFill="1" applyBorder="1" applyAlignment="1">
      <alignment/>
    </xf>
    <xf numFmtId="178" fontId="6" fillId="36" borderId="12" xfId="0" applyNumberFormat="1" applyFont="1" applyFill="1" applyBorder="1" applyAlignment="1">
      <alignment/>
    </xf>
    <xf numFmtId="178" fontId="6" fillId="36" borderId="10" xfId="0" applyNumberFormat="1" applyFont="1" applyFill="1" applyBorder="1" applyAlignment="1">
      <alignment/>
    </xf>
    <xf numFmtId="178" fontId="0" fillId="36" borderId="12" xfId="0" applyNumberFormat="1" applyFont="1" applyFill="1" applyBorder="1" applyAlignment="1">
      <alignment/>
    </xf>
    <xf numFmtId="178" fontId="6" fillId="36" borderId="11" xfId="0" applyNumberFormat="1" applyFont="1" applyFill="1" applyBorder="1" applyAlignment="1">
      <alignment/>
    </xf>
    <xf numFmtId="178" fontId="6" fillId="33" borderId="161" xfId="0" applyNumberFormat="1" applyFont="1" applyFill="1" applyBorder="1" applyAlignment="1" applyProtection="1">
      <alignment/>
      <protection/>
    </xf>
    <xf numFmtId="178" fontId="0" fillId="36" borderId="98" xfId="0" applyNumberFormat="1" applyFont="1" applyFill="1" applyBorder="1" applyAlignment="1" applyProtection="1">
      <alignment/>
      <protection/>
    </xf>
    <xf numFmtId="178" fontId="0" fillId="36" borderId="12" xfId="0" applyNumberFormat="1" applyFont="1" applyFill="1" applyBorder="1" applyAlignment="1" applyProtection="1">
      <alignment/>
      <protection/>
    </xf>
    <xf numFmtId="178" fontId="0" fillId="36" borderId="95" xfId="0" applyNumberFormat="1" applyFont="1" applyFill="1" applyBorder="1" applyAlignment="1" applyProtection="1">
      <alignment/>
      <protection/>
    </xf>
    <xf numFmtId="178" fontId="0" fillId="36" borderId="96" xfId="0" applyNumberFormat="1" applyFont="1" applyFill="1" applyBorder="1" applyAlignment="1" applyProtection="1">
      <alignment/>
      <protection/>
    </xf>
    <xf numFmtId="178" fontId="0" fillId="36" borderId="114" xfId="0" applyNumberFormat="1" applyFont="1" applyFill="1" applyBorder="1" applyAlignment="1" applyProtection="1">
      <alignment/>
      <protection/>
    </xf>
    <xf numFmtId="178" fontId="0" fillId="36" borderId="94" xfId="0" applyNumberFormat="1" applyFont="1" applyFill="1" applyBorder="1" applyAlignment="1" applyProtection="1">
      <alignment/>
      <protection/>
    </xf>
    <xf numFmtId="178" fontId="0" fillId="36" borderId="99" xfId="0" applyNumberFormat="1" applyFont="1" applyFill="1" applyBorder="1" applyAlignment="1" applyProtection="1">
      <alignment/>
      <protection/>
    </xf>
    <xf numFmtId="178" fontId="0" fillId="36" borderId="97" xfId="0" applyNumberFormat="1" applyFont="1" applyFill="1" applyBorder="1" applyAlignment="1" applyProtection="1">
      <alignment/>
      <protection/>
    </xf>
    <xf numFmtId="178" fontId="0" fillId="36" borderId="115" xfId="0" applyNumberFormat="1" applyFont="1" applyFill="1" applyBorder="1" applyAlignment="1" applyProtection="1">
      <alignment/>
      <protection/>
    </xf>
    <xf numFmtId="0" fontId="0" fillId="36" borderId="100" xfId="0" applyNumberFormat="1" applyFont="1" applyFill="1" applyBorder="1" applyAlignment="1" applyProtection="1">
      <alignment vertical="top"/>
      <protection/>
    </xf>
    <xf numFmtId="0" fontId="6" fillId="36" borderId="122" xfId="0" applyNumberFormat="1" applyFont="1" applyFill="1" applyBorder="1" applyAlignment="1" applyProtection="1">
      <alignment/>
      <protection/>
    </xf>
    <xf numFmtId="178" fontId="6" fillId="36" borderId="95" xfId="0" applyNumberFormat="1" applyFont="1" applyFill="1" applyBorder="1" applyAlignment="1" applyProtection="1">
      <alignment/>
      <protection/>
    </xf>
    <xf numFmtId="178" fontId="6" fillId="36" borderId="97" xfId="0" applyNumberFormat="1" applyFont="1" applyFill="1" applyBorder="1" applyAlignment="1" applyProtection="1">
      <alignment/>
      <protection/>
    </xf>
    <xf numFmtId="178" fontId="6" fillId="36" borderId="114" xfId="0" applyNumberFormat="1" applyFont="1" applyFill="1" applyBorder="1" applyAlignment="1" applyProtection="1">
      <alignment/>
      <protection/>
    </xf>
    <xf numFmtId="178" fontId="6" fillId="36" borderId="115" xfId="0" applyNumberFormat="1" applyFont="1" applyFill="1" applyBorder="1" applyAlignment="1" applyProtection="1">
      <alignment/>
      <protection/>
    </xf>
    <xf numFmtId="0" fontId="9" fillId="36" borderId="128" xfId="0" applyNumberFormat="1" applyFont="1" applyFill="1" applyBorder="1" applyAlignment="1" applyProtection="1">
      <alignment/>
      <protection/>
    </xf>
    <xf numFmtId="178" fontId="0" fillId="36" borderId="95" xfId="0" applyNumberFormat="1" applyFont="1" applyFill="1" applyBorder="1" applyAlignment="1" applyProtection="1">
      <alignment/>
      <protection/>
    </xf>
    <xf numFmtId="178" fontId="0" fillId="36" borderId="97" xfId="0" applyNumberFormat="1" applyFont="1" applyFill="1" applyBorder="1" applyAlignment="1" applyProtection="1">
      <alignment/>
      <protection/>
    </xf>
    <xf numFmtId="178" fontId="0" fillId="36" borderId="96" xfId="0" applyNumberFormat="1" applyFont="1" applyFill="1" applyBorder="1" applyAlignment="1" applyProtection="1">
      <alignment/>
      <protection/>
    </xf>
    <xf numFmtId="178" fontId="0" fillId="36" borderId="114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>
      <alignment/>
    </xf>
    <xf numFmtId="0" fontId="3" fillId="36" borderId="20" xfId="43" applyFont="1" applyFill="1" applyBorder="1" applyAlignment="1">
      <alignment horizontal="center" wrapText="1"/>
      <protection/>
    </xf>
    <xf numFmtId="184" fontId="3" fillId="36" borderId="20" xfId="43" applyNumberFormat="1" applyFont="1" applyFill="1" applyBorder="1" applyAlignment="1">
      <alignment horizontal="center" wrapText="1"/>
      <protection/>
    </xf>
    <xf numFmtId="0" fontId="3" fillId="36" borderId="12" xfId="43" applyFont="1" applyFill="1" applyBorder="1" applyAlignment="1">
      <alignment horizontal="center" wrapText="1"/>
      <protection/>
    </xf>
    <xf numFmtId="0" fontId="3" fillId="36" borderId="69" xfId="43" applyFont="1" applyFill="1" applyBorder="1" applyAlignment="1">
      <alignment horizontal="center" wrapText="1"/>
      <protection/>
    </xf>
    <xf numFmtId="4" fontId="3" fillId="36" borderId="20" xfId="43" applyNumberFormat="1" applyFont="1" applyFill="1" applyBorder="1" applyAlignment="1">
      <alignment horizontal="center" wrapText="1"/>
      <protection/>
    </xf>
    <xf numFmtId="0" fontId="3" fillId="36" borderId="63" xfId="43" applyFont="1" applyFill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178" fontId="0" fillId="0" borderId="0" xfId="0" applyNumberFormat="1" applyAlignment="1">
      <alignment/>
    </xf>
    <xf numFmtId="0" fontId="1" fillId="0" borderId="41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0" fontId="1" fillId="36" borderId="41" xfId="0" applyFont="1" applyFill="1" applyBorder="1" applyAlignment="1">
      <alignment wrapText="1"/>
    </xf>
    <xf numFmtId="0" fontId="1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right" vertical="top" wrapText="1"/>
    </xf>
    <xf numFmtId="0" fontId="3" fillId="36" borderId="56" xfId="43" applyFont="1" applyFill="1" applyBorder="1" applyAlignment="1">
      <alignment horizontal="center" wrapText="1"/>
      <protection/>
    </xf>
    <xf numFmtId="0" fontId="10" fillId="0" borderId="22" xfId="0" applyFont="1" applyBorder="1" applyAlignment="1">
      <alignment/>
    </xf>
    <xf numFmtId="0" fontId="10" fillId="33" borderId="22" xfId="0" applyFont="1" applyFill="1" applyBorder="1" applyAlignment="1">
      <alignment/>
    </xf>
    <xf numFmtId="0" fontId="10" fillId="0" borderId="22" xfId="0" applyFont="1" applyBorder="1" applyAlignment="1">
      <alignment wrapText="1"/>
    </xf>
    <xf numFmtId="176" fontId="6" fillId="0" borderId="12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6" fillId="0" borderId="43" xfId="0" applyNumberFormat="1" applyFon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2" fontId="6" fillId="0" borderId="55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0" fillId="0" borderId="162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10" fillId="0" borderId="54" xfId="56" applyFont="1" applyFill="1" applyBorder="1">
      <alignment/>
      <protection/>
    </xf>
    <xf numFmtId="0" fontId="8" fillId="0" borderId="21" xfId="56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10" fillId="0" borderId="21" xfId="56" applyFont="1" applyFill="1" applyBorder="1" applyAlignment="1">
      <alignment wrapText="1"/>
      <protection/>
    </xf>
    <xf numFmtId="0" fontId="10" fillId="0" borderId="21" xfId="56" applyFont="1" applyFill="1" applyBorder="1">
      <alignment/>
      <protection/>
    </xf>
    <xf numFmtId="0" fontId="10" fillId="0" borderId="21" xfId="56" applyFont="1" applyFill="1" applyBorder="1" applyAlignment="1">
      <alignment/>
      <protection/>
    </xf>
    <xf numFmtId="0" fontId="10" fillId="0" borderId="21" xfId="0" applyFont="1" applyFill="1" applyBorder="1" applyAlignment="1">
      <alignment wrapText="1"/>
    </xf>
    <xf numFmtId="0" fontId="10" fillId="0" borderId="21" xfId="56" applyFont="1" applyFill="1" applyBorder="1" applyAlignment="1">
      <alignment vertical="top" wrapText="1"/>
      <protection/>
    </xf>
    <xf numFmtId="0" fontId="10" fillId="0" borderId="29" xfId="56" applyFont="1" applyFill="1" applyBorder="1" applyAlignment="1">
      <alignment vertical="top" wrapText="1"/>
      <protection/>
    </xf>
    <xf numFmtId="0" fontId="8" fillId="0" borderId="29" xfId="56" applyFont="1" applyFill="1" applyBorder="1" applyAlignment="1">
      <alignment vertical="top" wrapText="1"/>
      <protection/>
    </xf>
    <xf numFmtId="0" fontId="0" fillId="0" borderId="30" xfId="0" applyFont="1" applyFill="1" applyBorder="1" applyAlignment="1">
      <alignment/>
    </xf>
    <xf numFmtId="0" fontId="10" fillId="0" borderId="44" xfId="56" applyFont="1" applyFill="1" applyBorder="1">
      <alignment/>
      <protection/>
    </xf>
    <xf numFmtId="178" fontId="0" fillId="36" borderId="1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0" fontId="0" fillId="0" borderId="11" xfId="0" applyFont="1" applyBorder="1" applyAlignment="1">
      <alignment vertical="top"/>
    </xf>
    <xf numFmtId="178" fontId="6" fillId="33" borderId="2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 vertical="top"/>
    </xf>
    <xf numFmtId="178" fontId="6" fillId="36" borderId="20" xfId="0" applyNumberFormat="1" applyFont="1" applyFill="1" applyBorder="1" applyAlignment="1">
      <alignment/>
    </xf>
    <xf numFmtId="178" fontId="6" fillId="0" borderId="64" xfId="0" applyNumberFormat="1" applyFont="1" applyBorder="1" applyAlignment="1">
      <alignment/>
    </xf>
    <xf numFmtId="0" fontId="6" fillId="0" borderId="66" xfId="56" applyFont="1" applyBorder="1" applyAlignment="1">
      <alignment horizontal="left" vertical="center" wrapText="1"/>
      <protection/>
    </xf>
    <xf numFmtId="0" fontId="0" fillId="33" borderId="19" xfId="56" applyFont="1" applyFill="1" applyBorder="1" applyAlignment="1">
      <alignment horizontal="left" vertical="center" wrapText="1"/>
      <protection/>
    </xf>
    <xf numFmtId="0" fontId="6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33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0" fillId="36" borderId="19" xfId="0" applyFont="1" applyFill="1" applyBorder="1" applyAlignment="1">
      <alignment wrapText="1"/>
    </xf>
    <xf numFmtId="0" fontId="9" fillId="36" borderId="19" xfId="0" applyFont="1" applyFill="1" applyBorder="1" applyAlignment="1">
      <alignment wrapText="1"/>
    </xf>
    <xf numFmtId="0" fontId="6" fillId="33" borderId="19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 wrapText="1"/>
    </xf>
    <xf numFmtId="0" fontId="9" fillId="33" borderId="25" xfId="0" applyFont="1" applyFill="1" applyBorder="1" applyAlignment="1">
      <alignment/>
    </xf>
    <xf numFmtId="0" fontId="9" fillId="33" borderId="25" xfId="0" applyFont="1" applyFill="1" applyBorder="1" applyAlignment="1">
      <alignment wrapText="1"/>
    </xf>
    <xf numFmtId="0" fontId="6" fillId="33" borderId="25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9" fillId="36" borderId="51" xfId="0" applyFont="1" applyFill="1" applyBorder="1" applyAlignment="1">
      <alignment/>
    </xf>
    <xf numFmtId="0" fontId="6" fillId="33" borderId="51" xfId="0" applyFont="1" applyFill="1" applyBorder="1" applyAlignment="1">
      <alignment wrapText="1"/>
    </xf>
    <xf numFmtId="0" fontId="6" fillId="33" borderId="25" xfId="0" applyFont="1" applyFill="1" applyBorder="1" applyAlignment="1">
      <alignment/>
    </xf>
    <xf numFmtId="0" fontId="0" fillId="0" borderId="79" xfId="0" applyFont="1" applyBorder="1" applyAlignment="1">
      <alignment/>
    </xf>
    <xf numFmtId="0" fontId="6" fillId="0" borderId="65" xfId="0" applyFont="1" applyFill="1" applyBorder="1" applyAlignment="1">
      <alignment/>
    </xf>
    <xf numFmtId="178" fontId="6" fillId="0" borderId="76" xfId="0" applyNumberFormat="1" applyFont="1" applyBorder="1" applyAlignment="1">
      <alignment/>
    </xf>
    <xf numFmtId="178" fontId="6" fillId="0" borderId="72" xfId="0" applyNumberFormat="1" applyFont="1" applyBorder="1" applyAlignment="1">
      <alignment/>
    </xf>
    <xf numFmtId="0" fontId="9" fillId="33" borderId="128" xfId="0" applyNumberFormat="1" applyFont="1" applyFill="1" applyBorder="1" applyAlignment="1" applyProtection="1">
      <alignment/>
      <protection/>
    </xf>
    <xf numFmtId="0" fontId="6" fillId="33" borderId="162" xfId="0" applyNumberFormat="1" applyFont="1" applyFill="1" applyBorder="1" applyAlignment="1" applyProtection="1">
      <alignment wrapText="1"/>
      <protection/>
    </xf>
    <xf numFmtId="0" fontId="9" fillId="33" borderId="116" xfId="0" applyNumberFormat="1" applyFont="1" applyFill="1" applyBorder="1" applyAlignment="1" applyProtection="1">
      <alignment/>
      <protection/>
    </xf>
    <xf numFmtId="0" fontId="9" fillId="0" borderId="22" xfId="0" applyFont="1" applyBorder="1" applyAlignment="1">
      <alignment vertical="top" wrapText="1"/>
    </xf>
    <xf numFmtId="0" fontId="6" fillId="33" borderId="116" xfId="0" applyNumberFormat="1" applyFont="1" applyFill="1" applyBorder="1" applyAlignment="1" applyProtection="1">
      <alignment/>
      <protection/>
    </xf>
    <xf numFmtId="0" fontId="9" fillId="33" borderId="156" xfId="0" applyNumberFormat="1" applyFont="1" applyFill="1" applyBorder="1" applyAlignment="1" applyProtection="1">
      <alignment/>
      <protection/>
    </xf>
    <xf numFmtId="0" fontId="6" fillId="33" borderId="116" xfId="0" applyNumberFormat="1" applyFont="1" applyFill="1" applyBorder="1" applyAlignment="1" applyProtection="1">
      <alignment wrapText="1"/>
      <protection/>
    </xf>
    <xf numFmtId="0" fontId="6" fillId="33" borderId="156" xfId="0" applyNumberFormat="1" applyFont="1" applyFill="1" applyBorder="1" applyAlignment="1" applyProtection="1">
      <alignment/>
      <protection/>
    </xf>
    <xf numFmtId="178" fontId="6" fillId="33" borderId="163" xfId="0" applyNumberFormat="1" applyFont="1" applyFill="1" applyBorder="1" applyAlignment="1" applyProtection="1">
      <alignment/>
      <protection/>
    </xf>
    <xf numFmtId="178" fontId="6" fillId="33" borderId="164" xfId="0" applyNumberFormat="1" applyFont="1" applyFill="1" applyBorder="1" applyAlignment="1" applyProtection="1">
      <alignment/>
      <protection/>
    </xf>
    <xf numFmtId="178" fontId="6" fillId="33" borderId="165" xfId="0" applyNumberFormat="1" applyFont="1" applyFill="1" applyBorder="1" applyAlignment="1" applyProtection="1">
      <alignment/>
      <protection/>
    </xf>
    <xf numFmtId="178" fontId="6" fillId="33" borderId="166" xfId="0" applyNumberFormat="1" applyFont="1" applyFill="1" applyBorder="1" applyAlignment="1" applyProtection="1">
      <alignment/>
      <protection/>
    </xf>
    <xf numFmtId="178" fontId="6" fillId="33" borderId="167" xfId="0" applyNumberFormat="1" applyFont="1" applyFill="1" applyBorder="1" applyAlignment="1" applyProtection="1">
      <alignment/>
      <protection/>
    </xf>
    <xf numFmtId="178" fontId="6" fillId="33" borderId="168" xfId="0" applyNumberFormat="1" applyFont="1" applyFill="1" applyBorder="1" applyAlignment="1" applyProtection="1">
      <alignment/>
      <protection/>
    </xf>
    <xf numFmtId="178" fontId="6" fillId="33" borderId="169" xfId="0" applyNumberFormat="1" applyFont="1" applyFill="1" applyBorder="1" applyAlignment="1" applyProtection="1">
      <alignment/>
      <protection/>
    </xf>
    <xf numFmtId="178" fontId="6" fillId="33" borderId="170" xfId="0" applyNumberFormat="1" applyFont="1" applyFill="1" applyBorder="1" applyAlignment="1" applyProtection="1">
      <alignment/>
      <protection/>
    </xf>
    <xf numFmtId="178" fontId="6" fillId="33" borderId="171" xfId="0" applyNumberFormat="1" applyFont="1" applyFill="1" applyBorder="1" applyAlignment="1" applyProtection="1">
      <alignment/>
      <protection/>
    </xf>
    <xf numFmtId="178" fontId="6" fillId="33" borderId="47" xfId="0" applyNumberFormat="1" applyFont="1" applyFill="1" applyBorder="1" applyAlignment="1" applyProtection="1">
      <alignment/>
      <protection/>
    </xf>
    <xf numFmtId="178" fontId="6" fillId="33" borderId="53" xfId="0" applyNumberFormat="1" applyFont="1" applyFill="1" applyBorder="1" applyAlignment="1" applyProtection="1">
      <alignment/>
      <protection/>
    </xf>
    <xf numFmtId="182" fontId="0" fillId="36" borderId="11" xfId="0" applyNumberFormat="1" applyFont="1" applyFill="1" applyBorder="1" applyAlignment="1">
      <alignment/>
    </xf>
    <xf numFmtId="178" fontId="0" fillId="36" borderId="0" xfId="0" applyNumberFormat="1" applyFont="1" applyFill="1" applyBorder="1" applyAlignment="1">
      <alignment/>
    </xf>
    <xf numFmtId="178" fontId="6" fillId="33" borderId="148" xfId="0" applyNumberFormat="1" applyFont="1" applyFill="1" applyBorder="1" applyAlignment="1" applyProtection="1">
      <alignment/>
      <protection/>
    </xf>
    <xf numFmtId="178" fontId="0" fillId="36" borderId="145" xfId="0" applyNumberFormat="1" applyFont="1" applyFill="1" applyBorder="1" applyAlignment="1" applyProtection="1">
      <alignment/>
      <protection/>
    </xf>
    <xf numFmtId="178" fontId="0" fillId="33" borderId="116" xfId="0" applyNumberFormat="1" applyFont="1" applyFill="1" applyBorder="1" applyAlignment="1" applyProtection="1">
      <alignment/>
      <protection/>
    </xf>
    <xf numFmtId="178" fontId="0" fillId="33" borderId="170" xfId="0" applyNumberFormat="1" applyFont="1" applyFill="1" applyBorder="1" applyAlignment="1" applyProtection="1">
      <alignment/>
      <protection/>
    </xf>
    <xf numFmtId="178" fontId="0" fillId="33" borderId="171" xfId="0" applyNumberFormat="1" applyFont="1" applyFill="1" applyBorder="1" applyAlignment="1" applyProtection="1">
      <alignment/>
      <protection/>
    </xf>
    <xf numFmtId="178" fontId="0" fillId="33" borderId="42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2" fontId="6" fillId="37" borderId="12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33" borderId="172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178" fontId="0" fillId="0" borderId="0" xfId="0" applyNumberFormat="1" applyFill="1" applyAlignment="1">
      <alignment/>
    </xf>
    <xf numFmtId="0" fontId="8" fillId="0" borderId="21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/>
    </xf>
    <xf numFmtId="0" fontId="3" fillId="35" borderId="2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181" fontId="9" fillId="33" borderId="122" xfId="0" applyNumberFormat="1" applyFont="1" applyFill="1" applyBorder="1" applyAlignment="1" applyProtection="1">
      <alignment/>
      <protection/>
    </xf>
    <xf numFmtId="181" fontId="0" fillId="33" borderId="95" xfId="0" applyNumberFormat="1" applyFont="1" applyFill="1" applyBorder="1" applyAlignment="1" applyProtection="1">
      <alignment/>
      <protection/>
    </xf>
    <xf numFmtId="181" fontId="0" fillId="33" borderId="97" xfId="0" applyNumberFormat="1" applyFont="1" applyFill="1" applyBorder="1" applyAlignment="1" applyProtection="1">
      <alignment/>
      <protection/>
    </xf>
    <xf numFmtId="181" fontId="0" fillId="33" borderId="97" xfId="0" applyNumberFormat="1" applyFont="1" applyFill="1" applyBorder="1" applyAlignment="1" applyProtection="1">
      <alignment/>
      <protection/>
    </xf>
    <xf numFmtId="181" fontId="6" fillId="33" borderId="92" xfId="0" applyNumberFormat="1" applyFont="1" applyFill="1" applyBorder="1" applyAlignment="1" applyProtection="1">
      <alignment/>
      <protection/>
    </xf>
    <xf numFmtId="181" fontId="6" fillId="33" borderId="94" xfId="0" applyNumberFormat="1" applyFont="1" applyFill="1" applyBorder="1" applyAlignment="1" applyProtection="1">
      <alignment/>
      <protection/>
    </xf>
    <xf numFmtId="181" fontId="6" fillId="33" borderId="91" xfId="0" applyNumberFormat="1" applyFont="1" applyFill="1" applyBorder="1" applyAlignment="1" applyProtection="1">
      <alignment/>
      <protection/>
    </xf>
    <xf numFmtId="181" fontId="6" fillId="33" borderId="89" xfId="0" applyNumberFormat="1" applyFont="1" applyFill="1" applyBorder="1" applyAlignment="1" applyProtection="1">
      <alignment/>
      <protection/>
    </xf>
    <xf numFmtId="181" fontId="6" fillId="33" borderId="48" xfId="0" applyNumberFormat="1" applyFont="1" applyFill="1" applyBorder="1" applyAlignment="1" applyProtection="1">
      <alignment/>
      <protection/>
    </xf>
    <xf numFmtId="181" fontId="6" fillId="33" borderId="157" xfId="0" applyNumberFormat="1" applyFont="1" applyFill="1" applyBorder="1" applyAlignment="1" applyProtection="1">
      <alignment/>
      <protection/>
    </xf>
    <xf numFmtId="181" fontId="6" fillId="33" borderId="90" xfId="0" applyNumberFormat="1" applyFont="1" applyFill="1" applyBorder="1" applyAlignment="1" applyProtection="1">
      <alignment/>
      <protection/>
    </xf>
    <xf numFmtId="181" fontId="6" fillId="33" borderId="43" xfId="0" applyNumberFormat="1" applyFont="1" applyFill="1" applyBorder="1" applyAlignment="1" applyProtection="1">
      <alignment/>
      <protection/>
    </xf>
    <xf numFmtId="181" fontId="0" fillId="0" borderId="21" xfId="0" applyNumberFormat="1" applyFont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6" fillId="0" borderId="2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6" fillId="0" borderId="20" xfId="0" applyNumberFormat="1" applyFont="1" applyBorder="1" applyAlignment="1">
      <alignment/>
    </xf>
    <xf numFmtId="181" fontId="6" fillId="0" borderId="12" xfId="0" applyNumberFormat="1" applyFont="1" applyBorder="1" applyAlignment="1">
      <alignment/>
    </xf>
    <xf numFmtId="181" fontId="6" fillId="0" borderId="50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22" xfId="0" applyNumberFormat="1" applyFont="1" applyFill="1" applyBorder="1" applyAlignment="1">
      <alignment/>
    </xf>
    <xf numFmtId="182" fontId="6" fillId="33" borderId="20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11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6" fillId="0" borderId="47" xfId="0" applyNumberFormat="1" applyFont="1" applyFill="1" applyBorder="1" applyAlignment="1">
      <alignment/>
    </xf>
    <xf numFmtId="182" fontId="0" fillId="36" borderId="98" xfId="0" applyNumberFormat="1" applyFont="1" applyFill="1" applyBorder="1" applyAlignment="1" applyProtection="1">
      <alignment/>
      <protection/>
    </xf>
    <xf numFmtId="182" fontId="0" fillId="36" borderId="12" xfId="0" applyNumberFormat="1" applyFont="1" applyFill="1" applyBorder="1" applyAlignment="1" applyProtection="1">
      <alignment/>
      <protection/>
    </xf>
    <xf numFmtId="182" fontId="0" fillId="36" borderId="114" xfId="0" applyNumberFormat="1" applyFont="1" applyFill="1" applyBorder="1" applyAlignment="1" applyProtection="1">
      <alignment/>
      <protection/>
    </xf>
    <xf numFmtId="182" fontId="0" fillId="36" borderId="94" xfId="0" applyNumberFormat="1" applyFont="1" applyFill="1" applyBorder="1" applyAlignment="1" applyProtection="1">
      <alignment/>
      <protection/>
    </xf>
    <xf numFmtId="182" fontId="0" fillId="36" borderId="145" xfId="0" applyNumberFormat="1" applyFont="1" applyFill="1" applyBorder="1" applyAlignment="1" applyProtection="1">
      <alignment/>
      <protection/>
    </xf>
    <xf numFmtId="182" fontId="0" fillId="36" borderId="99" xfId="0" applyNumberFormat="1" applyFont="1" applyFill="1" applyBorder="1" applyAlignment="1" applyProtection="1">
      <alignment/>
      <protection/>
    </xf>
    <xf numFmtId="182" fontId="0" fillId="36" borderId="97" xfId="0" applyNumberFormat="1" applyFont="1" applyFill="1" applyBorder="1" applyAlignment="1" applyProtection="1">
      <alignment/>
      <protection/>
    </xf>
    <xf numFmtId="182" fontId="0" fillId="36" borderId="115" xfId="0" applyNumberFormat="1" applyFont="1" applyFill="1" applyBorder="1" applyAlignment="1" applyProtection="1">
      <alignment/>
      <protection/>
    </xf>
    <xf numFmtId="182" fontId="6" fillId="33" borderId="46" xfId="0" applyNumberFormat="1" applyFont="1" applyFill="1" applyBorder="1" applyAlignment="1" applyProtection="1">
      <alignment/>
      <protection/>
    </xf>
    <xf numFmtId="182" fontId="6" fillId="33" borderId="43" xfId="0" applyNumberFormat="1" applyFont="1" applyFill="1" applyBorder="1" applyAlignment="1" applyProtection="1">
      <alignment/>
      <protection/>
    </xf>
    <xf numFmtId="182" fontId="6" fillId="33" borderId="44" xfId="0" applyNumberFormat="1" applyFont="1" applyFill="1" applyBorder="1" applyAlignment="1" applyProtection="1">
      <alignment/>
      <protection/>
    </xf>
    <xf numFmtId="182" fontId="6" fillId="33" borderId="50" xfId="0" applyNumberFormat="1" applyFont="1" applyFill="1" applyBorder="1" applyAlignment="1" applyProtection="1">
      <alignment/>
      <protection/>
    </xf>
    <xf numFmtId="182" fontId="6" fillId="33" borderId="42" xfId="0" applyNumberFormat="1" applyFont="1" applyFill="1" applyBorder="1" applyAlignment="1" applyProtection="1">
      <alignment/>
      <protection/>
    </xf>
    <xf numFmtId="182" fontId="6" fillId="33" borderId="173" xfId="0" applyNumberFormat="1" applyFont="1" applyFill="1" applyBorder="1" applyAlignment="1" applyProtection="1">
      <alignment/>
      <protection/>
    </xf>
    <xf numFmtId="0" fontId="1" fillId="36" borderId="37" xfId="0" applyFont="1" applyFill="1" applyBorder="1" applyAlignment="1">
      <alignment wrapText="1"/>
    </xf>
    <xf numFmtId="0" fontId="1" fillId="36" borderId="79" xfId="0" applyFont="1" applyFill="1" applyBorder="1" applyAlignment="1">
      <alignment horizontal="right" vertical="top" wrapText="1"/>
    </xf>
    <xf numFmtId="181" fontId="24" fillId="0" borderId="79" xfId="0" applyNumberFormat="1" applyFont="1" applyFill="1" applyBorder="1" applyAlignment="1">
      <alignment horizontal="center" vertical="top" wrapText="1"/>
    </xf>
    <xf numFmtId="0" fontId="3" fillId="0" borderId="56" xfId="43" applyFont="1" applyFill="1" applyBorder="1" applyAlignment="1">
      <alignment horizontal="center" wrapText="1"/>
      <protection/>
    </xf>
    <xf numFmtId="0" fontId="3" fillId="36" borderId="10" xfId="43" applyFont="1" applyFill="1" applyBorder="1" applyAlignment="1">
      <alignment horizontal="center" wrapText="1"/>
      <protection/>
    </xf>
    <xf numFmtId="0" fontId="1" fillId="36" borderId="41" xfId="0" applyFont="1" applyFill="1" applyBorder="1" applyAlignment="1">
      <alignment vertical="top" wrapText="1"/>
    </xf>
    <xf numFmtId="0" fontId="1" fillId="36" borderId="4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8" xfId="0" applyFont="1" applyBorder="1" applyAlignment="1">
      <alignment vertical="top" wrapText="1"/>
    </xf>
    <xf numFmtId="0" fontId="0" fillId="0" borderId="65" xfId="0" applyFont="1" applyBorder="1" applyAlignment="1">
      <alignment/>
    </xf>
    <xf numFmtId="0" fontId="0" fillId="0" borderId="79" xfId="0" applyBorder="1" applyAlignment="1">
      <alignment/>
    </xf>
    <xf numFmtId="0" fontId="1" fillId="0" borderId="60" xfId="0" applyFont="1" applyBorder="1" applyAlignment="1">
      <alignment vertical="top" wrapText="1"/>
    </xf>
    <xf numFmtId="0" fontId="0" fillId="0" borderId="162" xfId="0" applyBorder="1" applyAlignment="1">
      <alignment/>
    </xf>
    <xf numFmtId="0" fontId="0" fillId="0" borderId="71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5" xfId="56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2" xfId="56" applyFont="1" applyFill="1" applyBorder="1" applyAlignment="1">
      <alignment vertical="center"/>
      <protection/>
    </xf>
    <xf numFmtId="0" fontId="0" fillId="33" borderId="174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39" xfId="0" applyFill="1" applyBorder="1" applyAlignment="1">
      <alignment/>
    </xf>
    <xf numFmtId="0" fontId="0" fillId="33" borderId="160" xfId="0" applyFill="1" applyBorder="1" applyAlignment="1">
      <alignment/>
    </xf>
    <xf numFmtId="0" fontId="0" fillId="33" borderId="74" xfId="0" applyFill="1" applyBorder="1" applyAlignment="1">
      <alignment/>
    </xf>
    <xf numFmtId="0" fontId="0" fillId="0" borderId="175" xfId="56" applyFont="1" applyBorder="1" applyAlignment="1">
      <alignment horizontal="center" vertical="center" wrapText="1"/>
      <protection/>
    </xf>
    <xf numFmtId="0" fontId="0" fillId="0" borderId="176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7" xfId="56" applyFont="1" applyBorder="1" applyAlignment="1">
      <alignment horizontal="center" vertical="center" wrapText="1"/>
      <protection/>
    </xf>
    <xf numFmtId="0" fontId="6" fillId="0" borderId="178" xfId="56" applyFont="1" applyBorder="1" applyAlignment="1">
      <alignment horizontal="center" vertical="center" wrapText="1"/>
      <protection/>
    </xf>
    <xf numFmtId="0" fontId="6" fillId="0" borderId="179" xfId="56" applyFont="1" applyBorder="1" applyAlignment="1">
      <alignment horizontal="center" vertical="center" wrapText="1"/>
      <protection/>
    </xf>
    <xf numFmtId="0" fontId="0" fillId="0" borderId="180" xfId="56" applyFont="1" applyBorder="1" applyAlignment="1">
      <alignment horizontal="center" vertical="center" wrapText="1"/>
      <protection/>
    </xf>
    <xf numFmtId="0" fontId="0" fillId="0" borderId="181" xfId="56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38" xfId="56" applyFont="1" applyBorder="1" applyAlignment="1">
      <alignment horizontal="center" vertical="center" wrapText="1"/>
      <protection/>
    </xf>
    <xf numFmtId="0" fontId="0" fillId="0" borderId="65" xfId="56" applyFont="1" applyBorder="1" applyAlignment="1">
      <alignment horizontal="center" vertical="center" wrapText="1"/>
      <protection/>
    </xf>
    <xf numFmtId="0" fontId="0" fillId="0" borderId="79" xfId="56" applyFont="1" applyBorder="1" applyAlignment="1">
      <alignment horizontal="center" vertical="center" wrapText="1"/>
      <protection/>
    </xf>
    <xf numFmtId="0" fontId="6" fillId="0" borderId="182" xfId="56" applyFont="1" applyBorder="1" applyAlignment="1">
      <alignment horizontal="center" vertical="center" wrapText="1"/>
      <protection/>
    </xf>
    <xf numFmtId="0" fontId="6" fillId="0" borderId="183" xfId="56" applyFont="1" applyBorder="1" applyAlignment="1">
      <alignment horizontal="center" vertical="center" wrapText="1"/>
      <protection/>
    </xf>
    <xf numFmtId="0" fontId="6" fillId="0" borderId="184" xfId="56" applyFont="1" applyBorder="1" applyAlignment="1">
      <alignment horizontal="center" vertical="center" wrapText="1"/>
      <protection/>
    </xf>
    <xf numFmtId="0" fontId="0" fillId="0" borderId="185" xfId="56" applyFont="1" applyBorder="1" applyAlignment="1">
      <alignment horizontal="center" vertical="center" wrapText="1"/>
      <protection/>
    </xf>
    <xf numFmtId="0" fontId="0" fillId="0" borderId="186" xfId="56" applyFont="1" applyBorder="1" applyAlignment="1">
      <alignment horizontal="center" vertical="center" wrapText="1"/>
      <protection/>
    </xf>
    <xf numFmtId="0" fontId="0" fillId="0" borderId="187" xfId="56" applyFont="1" applyBorder="1" applyAlignment="1">
      <alignment horizontal="center" vertical="center" wrapText="1"/>
      <protection/>
    </xf>
    <xf numFmtId="0" fontId="0" fillId="0" borderId="188" xfId="56" applyFont="1" applyBorder="1" applyAlignment="1">
      <alignment horizontal="center" vertical="center" wrapText="1"/>
      <protection/>
    </xf>
    <xf numFmtId="0" fontId="0" fillId="0" borderId="84" xfId="56" applyFont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189" xfId="56" applyFont="1" applyBorder="1" applyAlignment="1">
      <alignment horizontal="center" vertical="center" wrapText="1"/>
      <protection/>
    </xf>
    <xf numFmtId="0" fontId="0" fillId="0" borderId="190" xfId="56" applyFont="1" applyBorder="1" applyAlignment="1">
      <alignment horizontal="center" vertical="center" wrapText="1"/>
      <protection/>
    </xf>
    <xf numFmtId="0" fontId="0" fillId="0" borderId="191" xfId="56" applyFont="1" applyBorder="1" applyAlignment="1">
      <alignment horizontal="center" vertical="center" wrapText="1"/>
      <protection/>
    </xf>
    <xf numFmtId="0" fontId="6" fillId="0" borderId="82" xfId="56" applyFont="1" applyBorder="1" applyAlignment="1">
      <alignment horizontal="center" vertical="center" wrapText="1"/>
      <protection/>
    </xf>
    <xf numFmtId="0" fontId="6" fillId="0" borderId="188" xfId="56" applyFont="1" applyBorder="1" applyAlignment="1">
      <alignment horizontal="center" vertical="center" wrapText="1"/>
      <protection/>
    </xf>
    <xf numFmtId="0" fontId="6" fillId="0" borderId="192" xfId="56" applyFont="1" applyBorder="1" applyAlignment="1">
      <alignment horizontal="center" vertical="center" wrapText="1"/>
      <protection/>
    </xf>
    <xf numFmtId="0" fontId="0" fillId="0" borderId="83" xfId="56" applyFont="1" applyBorder="1" applyAlignment="1">
      <alignment horizontal="center" vertical="center" wrapText="1"/>
      <protection/>
    </xf>
    <xf numFmtId="0" fontId="0" fillId="0" borderId="193" xfId="56" applyFont="1" applyBorder="1" applyAlignment="1">
      <alignment horizontal="center" vertical="center" wrapText="1"/>
      <protection/>
    </xf>
    <xf numFmtId="0" fontId="0" fillId="0" borderId="194" xfId="56" applyFont="1" applyBorder="1" applyAlignment="1">
      <alignment horizontal="center" vertical="center" wrapText="1"/>
      <protection/>
    </xf>
    <xf numFmtId="0" fontId="0" fillId="0" borderId="195" xfId="56" applyFont="1" applyBorder="1" applyAlignment="1">
      <alignment horizontal="center" vertical="center" wrapText="1"/>
      <protection/>
    </xf>
    <xf numFmtId="0" fontId="6" fillId="0" borderId="85" xfId="56" applyFont="1" applyBorder="1" applyAlignment="1">
      <alignment horizontal="center" vertical="center" wrapText="1"/>
      <protection/>
    </xf>
    <xf numFmtId="0" fontId="6" fillId="0" borderId="196" xfId="56" applyFont="1" applyBorder="1" applyAlignment="1">
      <alignment horizontal="center" vertical="center" wrapText="1"/>
      <protection/>
    </xf>
    <xf numFmtId="0" fontId="6" fillId="0" borderId="197" xfId="56" applyFont="1" applyBorder="1" applyAlignment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0" fillId="33" borderId="199" xfId="0" applyNumberFormat="1" applyFont="1" applyFill="1" applyBorder="1" applyAlignment="1" applyProtection="1">
      <alignment horizontal="center" vertical="center" wrapText="1"/>
      <protection/>
    </xf>
    <xf numFmtId="0" fontId="0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201" xfId="0" applyNumberFormat="1" applyFont="1" applyFill="1" applyBorder="1" applyAlignment="1" applyProtection="1">
      <alignment horizontal="center" vertical="center" wrapText="1"/>
      <protection/>
    </xf>
    <xf numFmtId="0" fontId="0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33" borderId="203" xfId="0" applyNumberFormat="1" applyFont="1" applyFill="1" applyBorder="1" applyAlignment="1" applyProtection="1">
      <alignment horizontal="center" vertical="center" wrapText="1"/>
      <protection/>
    </xf>
    <xf numFmtId="0" fontId="0" fillId="33" borderId="204" xfId="0" applyNumberFormat="1" applyFont="1" applyFill="1" applyBorder="1" applyAlignment="1" applyProtection="1">
      <alignment horizontal="center" vertical="center" wrapText="1"/>
      <protection/>
    </xf>
    <xf numFmtId="0" fontId="6" fillId="33" borderId="205" xfId="0" applyNumberFormat="1" applyFont="1" applyFill="1" applyBorder="1" applyAlignment="1" applyProtection="1">
      <alignment horizontal="center" vertical="center" wrapText="1"/>
      <protection/>
    </xf>
    <xf numFmtId="0" fontId="6" fillId="33" borderId="206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207" xfId="0" applyNumberFormat="1" applyFont="1" applyFill="1" applyBorder="1" applyAlignment="1" applyProtection="1">
      <alignment horizontal="center" vertical="center" wrapText="1"/>
      <protection/>
    </xf>
    <xf numFmtId="0" fontId="0" fillId="33" borderId="208" xfId="0" applyNumberFormat="1" applyFont="1" applyFill="1" applyBorder="1" applyAlignment="1" applyProtection="1">
      <alignment horizontal="center" vertical="center" wrapText="1"/>
      <protection/>
    </xf>
    <xf numFmtId="0" fontId="0" fillId="33" borderId="209" xfId="0" applyNumberFormat="1" applyFont="1" applyFill="1" applyBorder="1" applyAlignment="1" applyProtection="1">
      <alignment/>
      <protection/>
    </xf>
    <xf numFmtId="0" fontId="0" fillId="33" borderId="210" xfId="0" applyNumberFormat="1" applyFont="1" applyFill="1" applyBorder="1" applyAlignment="1" applyProtection="1">
      <alignment/>
      <protection/>
    </xf>
    <xf numFmtId="0" fontId="0" fillId="33" borderId="211" xfId="0" applyNumberFormat="1" applyFont="1" applyFill="1" applyBorder="1" applyAlignment="1" applyProtection="1">
      <alignment horizontal="center" vertical="center" wrapText="1"/>
      <protection/>
    </xf>
    <xf numFmtId="0" fontId="0" fillId="33" borderId="212" xfId="0" applyNumberFormat="1" applyFont="1" applyFill="1" applyBorder="1" applyAlignment="1" applyProtection="1">
      <alignment horizontal="center" vertical="center" wrapText="1"/>
      <protection/>
    </xf>
    <xf numFmtId="0" fontId="6" fillId="33" borderId="213" xfId="0" applyNumberFormat="1" applyFont="1" applyFill="1" applyBorder="1" applyAlignment="1" applyProtection="1">
      <alignment horizontal="center" vertical="center" wrapText="1"/>
      <protection/>
    </xf>
    <xf numFmtId="0" fontId="6" fillId="33" borderId="214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45" applyBorder="1" applyAlignment="1">
      <alignment horizontal="center" vertical="top"/>
      <protection/>
    </xf>
    <xf numFmtId="0" fontId="0" fillId="0" borderId="74" xfId="45" applyBorder="1" applyAlignment="1">
      <alignment horizontal="center" vertical="top"/>
      <protection/>
    </xf>
    <xf numFmtId="0" fontId="0" fillId="0" borderId="32" xfId="45" applyBorder="1" applyAlignment="1">
      <alignment horizontal="center" vertical="top"/>
      <protection/>
    </xf>
    <xf numFmtId="0" fontId="0" fillId="0" borderId="72" xfId="45" applyBorder="1" applyAlignment="1">
      <alignment horizontal="center" vertical="top"/>
      <protection/>
    </xf>
    <xf numFmtId="0" fontId="0" fillId="0" borderId="40" xfId="45" applyFont="1" applyBorder="1" applyAlignment="1">
      <alignment horizontal="center" vertical="top"/>
      <protection/>
    </xf>
    <xf numFmtId="0" fontId="0" fillId="0" borderId="75" xfId="45" applyBorder="1" applyAlignment="1">
      <alignment horizontal="center" vertical="top"/>
      <protection/>
    </xf>
    <xf numFmtId="0" fontId="0" fillId="0" borderId="60" xfId="0" applyFont="1" applyFill="1" applyBorder="1" applyAlignment="1">
      <alignment vertical="top" wrapText="1"/>
    </xf>
    <xf numFmtId="0" fontId="0" fillId="0" borderId="162" xfId="0" applyFont="1" applyFill="1" applyBorder="1" applyAlignment="1">
      <alignment vertical="top" wrapText="1"/>
    </xf>
    <xf numFmtId="0" fontId="0" fillId="0" borderId="71" xfId="0" applyFont="1" applyFill="1" applyBorder="1" applyAlignment="1">
      <alignment vertical="top" wrapText="1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0" fontId="8" fillId="0" borderId="73" xfId="57" applyFont="1" applyFill="1" applyBorder="1" applyAlignment="1">
      <alignment horizontal="center" vertical="center" wrapText="1"/>
      <protection/>
    </xf>
    <xf numFmtId="0" fontId="8" fillId="0" borderId="32" xfId="57" applyFont="1" applyFill="1" applyBorder="1" applyAlignment="1">
      <alignment horizontal="center" vertical="center" wrapText="1"/>
      <protection/>
    </xf>
    <xf numFmtId="0" fontId="0" fillId="0" borderId="215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216" xfId="0" applyFont="1" applyFill="1" applyBorder="1" applyAlignment="1">
      <alignment vertical="top" wrapText="1"/>
    </xf>
    <xf numFmtId="0" fontId="0" fillId="0" borderId="75" xfId="0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39" xfId="0" applyFont="1" applyBorder="1" applyAlignment="1">
      <alignment wrapText="1"/>
    </xf>
    <xf numFmtId="0" fontId="3" fillId="0" borderId="160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217" xfId="0" applyFont="1" applyBorder="1" applyAlignment="1">
      <alignment/>
    </xf>
    <xf numFmtId="0" fontId="3" fillId="0" borderId="62" xfId="0" applyFont="1" applyBorder="1" applyAlignment="1">
      <alignment wrapText="1"/>
    </xf>
    <xf numFmtId="0" fontId="0" fillId="0" borderId="174" xfId="0" applyBorder="1" applyAlignment="1">
      <alignment/>
    </xf>
    <xf numFmtId="0" fontId="0" fillId="0" borderId="61" xfId="0" applyBorder="1" applyAlignment="1">
      <alignment/>
    </xf>
    <xf numFmtId="0" fontId="3" fillId="35" borderId="17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3" fillId="0" borderId="215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215" xfId="0" applyFont="1" applyBorder="1" applyAlignment="1">
      <alignment/>
    </xf>
    <xf numFmtId="0" fontId="3" fillId="0" borderId="27" xfId="0" applyFont="1" applyBorder="1" applyAlignment="1">
      <alignment wrapText="1"/>
    </xf>
    <xf numFmtId="0" fontId="0" fillId="0" borderId="215" xfId="0" applyBorder="1" applyAlignment="1">
      <alignment wrapText="1"/>
    </xf>
    <xf numFmtId="0" fontId="3" fillId="0" borderId="28" xfId="0" applyFont="1" applyBorder="1" applyAlignment="1">
      <alignment/>
    </xf>
    <xf numFmtId="0" fontId="3" fillId="0" borderId="218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35" borderId="24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Normal_Sheet1_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2">
      <selection activeCell="H62" sqref="H62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433</v>
      </c>
    </row>
    <row r="2" ht="15.75">
      <c r="C2" s="1" t="s">
        <v>434</v>
      </c>
    </row>
    <row r="3" ht="17.25" customHeight="1">
      <c r="A3" s="1" t="s">
        <v>435</v>
      </c>
    </row>
    <row r="4" spans="1:4" ht="15.75">
      <c r="A4" s="983" t="s">
        <v>436</v>
      </c>
      <c r="B4" s="984"/>
      <c r="C4" s="984"/>
      <c r="D4" s="984"/>
    </row>
    <row r="5" ht="18" customHeight="1">
      <c r="A5" s="3" t="s">
        <v>437</v>
      </c>
    </row>
    <row r="6" spans="1:4" ht="15" customHeight="1" thickBot="1">
      <c r="A6" s="3"/>
      <c r="D6" t="s">
        <v>438</v>
      </c>
    </row>
    <row r="7" spans="1:4" ht="45" customHeight="1" thickBot="1">
      <c r="A7" s="391" t="s">
        <v>0</v>
      </c>
      <c r="B7" s="392" t="s">
        <v>439</v>
      </c>
      <c r="C7" s="393" t="s">
        <v>440</v>
      </c>
      <c r="D7" s="394" t="s">
        <v>441</v>
      </c>
    </row>
    <row r="8" spans="1:4" ht="16.5" customHeight="1" thickBot="1">
      <c r="A8" s="395">
        <v>1</v>
      </c>
      <c r="B8" s="396">
        <v>2</v>
      </c>
      <c r="C8" s="397">
        <v>3</v>
      </c>
      <c r="D8" s="398">
        <v>4</v>
      </c>
    </row>
    <row r="9" spans="1:4" ht="15" customHeight="1" thickBot="1">
      <c r="A9" s="399" t="s">
        <v>1</v>
      </c>
      <c r="B9" s="400" t="s">
        <v>442</v>
      </c>
      <c r="C9" s="401" t="s">
        <v>443</v>
      </c>
      <c r="D9" s="402">
        <f>D10+D12+D16</f>
        <v>19065</v>
      </c>
    </row>
    <row r="10" spans="1:4" ht="17.25" customHeight="1" thickBot="1">
      <c r="A10" s="399" t="s">
        <v>2</v>
      </c>
      <c r="B10" s="403" t="s">
        <v>444</v>
      </c>
      <c r="C10" s="401" t="s">
        <v>445</v>
      </c>
      <c r="D10" s="402">
        <f>D11</f>
        <v>17508</v>
      </c>
    </row>
    <row r="11" spans="1:4" ht="18.75" customHeight="1" thickBot="1">
      <c r="A11" s="399" t="s">
        <v>3</v>
      </c>
      <c r="B11" s="400" t="s">
        <v>446</v>
      </c>
      <c r="C11" s="404" t="s">
        <v>447</v>
      </c>
      <c r="D11" s="402">
        <v>17508</v>
      </c>
    </row>
    <row r="12" spans="1:4" ht="18.75" customHeight="1" thickBot="1">
      <c r="A12" s="399" t="s">
        <v>4</v>
      </c>
      <c r="B12" s="400" t="s">
        <v>448</v>
      </c>
      <c r="C12" s="401" t="s">
        <v>493</v>
      </c>
      <c r="D12" s="402">
        <f>D13+D14+D15</f>
        <v>825</v>
      </c>
    </row>
    <row r="13" spans="1:4" ht="18" customHeight="1" thickBot="1">
      <c r="A13" s="399" t="s">
        <v>5</v>
      </c>
      <c r="B13" s="400" t="s">
        <v>449</v>
      </c>
      <c r="C13" s="404" t="s">
        <v>450</v>
      </c>
      <c r="D13" s="405">
        <v>550</v>
      </c>
    </row>
    <row r="14" spans="1:4" ht="17.25" customHeight="1" thickBot="1">
      <c r="A14" s="399" t="s">
        <v>6</v>
      </c>
      <c r="B14" s="400" t="s">
        <v>451</v>
      </c>
      <c r="C14" s="404" t="s">
        <v>452</v>
      </c>
      <c r="D14" s="405">
        <v>10</v>
      </c>
    </row>
    <row r="15" spans="1:4" ht="17.25" customHeight="1" thickBot="1">
      <c r="A15" s="399" t="s">
        <v>7</v>
      </c>
      <c r="B15" s="400" t="s">
        <v>453</v>
      </c>
      <c r="C15" s="404" t="s">
        <v>454</v>
      </c>
      <c r="D15" s="405">
        <v>265</v>
      </c>
    </row>
    <row r="16" spans="1:4" ht="15.75" customHeight="1" thickBot="1">
      <c r="A16" s="399" t="s">
        <v>8</v>
      </c>
      <c r="B16" s="400" t="s">
        <v>455</v>
      </c>
      <c r="C16" s="401" t="s">
        <v>494</v>
      </c>
      <c r="D16" s="402">
        <f>D17+D18</f>
        <v>732</v>
      </c>
    </row>
    <row r="17" spans="1:4" ht="16.5" customHeight="1" thickBot="1">
      <c r="A17" s="399" t="s">
        <v>9</v>
      </c>
      <c r="B17" s="400" t="s">
        <v>456</v>
      </c>
      <c r="C17" s="404" t="s">
        <v>457</v>
      </c>
      <c r="D17" s="405">
        <v>50</v>
      </c>
    </row>
    <row r="18" spans="1:4" ht="17.25" customHeight="1" thickBot="1">
      <c r="A18" s="399" t="s">
        <v>10</v>
      </c>
      <c r="B18" s="400" t="s">
        <v>458</v>
      </c>
      <c r="C18" s="404" t="s">
        <v>495</v>
      </c>
      <c r="D18" s="405">
        <f>D19+D20</f>
        <v>682</v>
      </c>
    </row>
    <row r="19" spans="1:4" ht="18.75" customHeight="1" thickBot="1">
      <c r="A19" s="399" t="s">
        <v>11</v>
      </c>
      <c r="B19" s="400" t="s">
        <v>459</v>
      </c>
      <c r="C19" s="404" t="s">
        <v>460</v>
      </c>
      <c r="D19" s="405">
        <v>32</v>
      </c>
    </row>
    <row r="20" spans="1:4" ht="19.5" customHeight="1" thickBot="1">
      <c r="A20" s="399" t="s">
        <v>12</v>
      </c>
      <c r="B20" s="400" t="s">
        <v>461</v>
      </c>
      <c r="C20" s="404" t="s">
        <v>462</v>
      </c>
      <c r="D20" s="406">
        <v>650</v>
      </c>
    </row>
    <row r="21" spans="1:4" ht="18" customHeight="1" thickBot="1">
      <c r="A21" s="399" t="s">
        <v>13</v>
      </c>
      <c r="B21" s="400" t="s">
        <v>463</v>
      </c>
      <c r="C21" s="401" t="s">
        <v>661</v>
      </c>
      <c r="D21" s="413">
        <f>D22+D27+D31</f>
        <v>12266.858619999999</v>
      </c>
    </row>
    <row r="22" spans="1:4" ht="18" customHeight="1" thickBot="1">
      <c r="A22" s="399" t="s">
        <v>14</v>
      </c>
      <c r="B22" s="752" t="s">
        <v>464</v>
      </c>
      <c r="C22" s="749" t="s">
        <v>465</v>
      </c>
      <c r="D22" s="753">
        <f>D23+D24+D25+D26</f>
        <v>10104.615999999998</v>
      </c>
    </row>
    <row r="23" spans="1:4" ht="33.75" customHeight="1" thickBot="1">
      <c r="A23" s="399" t="s">
        <v>15</v>
      </c>
      <c r="B23" s="400" t="s">
        <v>466</v>
      </c>
      <c r="C23" s="404" t="s">
        <v>671</v>
      </c>
      <c r="D23" s="407">
        <v>3274.916</v>
      </c>
    </row>
    <row r="24" spans="1:4" ht="21" customHeight="1" thickBot="1">
      <c r="A24" s="399" t="s">
        <v>16</v>
      </c>
      <c r="B24" s="400" t="s">
        <v>467</v>
      </c>
      <c r="C24" s="408" t="s">
        <v>313</v>
      </c>
      <c r="D24" s="811">
        <v>6707.6</v>
      </c>
    </row>
    <row r="25" spans="1:4" ht="33" customHeight="1" thickBot="1">
      <c r="A25" s="399" t="s">
        <v>17</v>
      </c>
      <c r="B25" s="404" t="s">
        <v>468</v>
      </c>
      <c r="C25" s="409" t="s">
        <v>469</v>
      </c>
      <c r="D25" s="410">
        <v>121.3</v>
      </c>
    </row>
    <row r="26" spans="1:4" ht="47.25" customHeight="1" thickBot="1">
      <c r="A26" s="399" t="s">
        <v>18</v>
      </c>
      <c r="B26" s="404" t="s">
        <v>470</v>
      </c>
      <c r="C26" s="409" t="s">
        <v>471</v>
      </c>
      <c r="D26" s="410">
        <v>0.8</v>
      </c>
    </row>
    <row r="27" spans="1:4" ht="18" customHeight="1" thickBot="1">
      <c r="A27" s="399" t="s">
        <v>19</v>
      </c>
      <c r="B27" s="750" t="s">
        <v>472</v>
      </c>
      <c r="C27" s="748" t="s">
        <v>710</v>
      </c>
      <c r="D27" s="751">
        <f>D28+D29+D30</f>
        <v>915.06002</v>
      </c>
    </row>
    <row r="28" spans="1:4" ht="30.75" customHeight="1" thickBot="1">
      <c r="A28" s="399" t="s">
        <v>20</v>
      </c>
      <c r="B28" s="404" t="s">
        <v>473</v>
      </c>
      <c r="C28" s="411" t="s">
        <v>474</v>
      </c>
      <c r="D28" s="412">
        <v>31.5</v>
      </c>
    </row>
    <row r="29" spans="1:4" ht="21" customHeight="1" thickBot="1">
      <c r="A29" s="399" t="s">
        <v>55</v>
      </c>
      <c r="B29" s="404" t="s">
        <v>676</v>
      </c>
      <c r="C29" s="411" t="s">
        <v>677</v>
      </c>
      <c r="D29" s="412">
        <v>820</v>
      </c>
    </row>
    <row r="30" spans="1:4" ht="21" customHeight="1" thickBot="1">
      <c r="A30" s="981" t="s">
        <v>21</v>
      </c>
      <c r="B30" s="982" t="s">
        <v>711</v>
      </c>
      <c r="C30" s="760" t="s">
        <v>701</v>
      </c>
      <c r="D30" s="761">
        <v>63.56002</v>
      </c>
    </row>
    <row r="31" spans="1:4" ht="17.25" customHeight="1" thickBot="1">
      <c r="A31" s="754" t="s">
        <v>22</v>
      </c>
      <c r="B31" s="755" t="s">
        <v>654</v>
      </c>
      <c r="C31" s="756" t="s">
        <v>709</v>
      </c>
      <c r="D31" s="757">
        <f>D32+D33+D34</f>
        <v>1247.1826</v>
      </c>
    </row>
    <row r="32" spans="1:4" ht="18" customHeight="1" thickBot="1">
      <c r="A32" s="758" t="s">
        <v>23</v>
      </c>
      <c r="B32" s="759" t="s">
        <v>655</v>
      </c>
      <c r="C32" s="760" t="s">
        <v>657</v>
      </c>
      <c r="D32" s="761">
        <v>19.1826</v>
      </c>
    </row>
    <row r="33" spans="1:4" ht="17.25" customHeight="1" thickBot="1">
      <c r="A33" s="758" t="s">
        <v>24</v>
      </c>
      <c r="B33" s="759" t="s">
        <v>656</v>
      </c>
      <c r="C33" s="760" t="s">
        <v>662</v>
      </c>
      <c r="D33" s="761">
        <v>93</v>
      </c>
    </row>
    <row r="34" spans="1:4" ht="17.25" customHeight="1" thickBot="1">
      <c r="A34" s="758" t="s">
        <v>25</v>
      </c>
      <c r="B34" s="759" t="s">
        <v>678</v>
      </c>
      <c r="C34" s="813" t="s">
        <v>677</v>
      </c>
      <c r="D34" s="761">
        <v>1135</v>
      </c>
    </row>
    <row r="35" spans="1:9" ht="21" customHeight="1" thickBot="1">
      <c r="A35" s="399" t="s">
        <v>26</v>
      </c>
      <c r="B35" s="400" t="s">
        <v>475</v>
      </c>
      <c r="C35" s="401" t="s">
        <v>703</v>
      </c>
      <c r="D35" s="413">
        <f>D36+D40+D41+D42</f>
        <v>1781.198</v>
      </c>
      <c r="I35" s="10" t="s">
        <v>663</v>
      </c>
    </row>
    <row r="36" spans="1:4" ht="18" customHeight="1" thickBot="1">
      <c r="A36" s="399" t="s">
        <v>27</v>
      </c>
      <c r="B36" s="400" t="s">
        <v>476</v>
      </c>
      <c r="C36" s="401" t="s">
        <v>704</v>
      </c>
      <c r="D36" s="402">
        <f>D37+D38+D39</f>
        <v>355</v>
      </c>
    </row>
    <row r="37" spans="1:4" ht="33" customHeight="1" thickBot="1">
      <c r="A37" s="399" t="s">
        <v>28</v>
      </c>
      <c r="B37" s="400" t="s">
        <v>477</v>
      </c>
      <c r="C37" s="404" t="s">
        <v>478</v>
      </c>
      <c r="D37" s="405">
        <v>250</v>
      </c>
    </row>
    <row r="38" spans="1:4" ht="18" customHeight="1" thickBot="1">
      <c r="A38" s="399" t="s">
        <v>29</v>
      </c>
      <c r="B38" s="400" t="s">
        <v>479</v>
      </c>
      <c r="C38" s="404" t="s">
        <v>480</v>
      </c>
      <c r="D38" s="405">
        <v>30</v>
      </c>
    </row>
    <row r="39" spans="1:4" ht="30" customHeight="1" thickBot="1">
      <c r="A39" s="399" t="s">
        <v>658</v>
      </c>
      <c r="B39" s="400" t="s">
        <v>481</v>
      </c>
      <c r="C39" s="404" t="s">
        <v>482</v>
      </c>
      <c r="D39" s="405">
        <v>75</v>
      </c>
    </row>
    <row r="40" spans="1:4" ht="16.5" customHeight="1" thickBot="1">
      <c r="A40" s="399" t="s">
        <v>659</v>
      </c>
      <c r="B40" s="400" t="s">
        <v>483</v>
      </c>
      <c r="C40" s="401" t="s">
        <v>484</v>
      </c>
      <c r="D40" s="421">
        <v>1411.198</v>
      </c>
    </row>
    <row r="41" spans="1:4" ht="15.75" customHeight="1" thickBot="1">
      <c r="A41" s="399" t="s">
        <v>660</v>
      </c>
      <c r="B41" s="400" t="s">
        <v>485</v>
      </c>
      <c r="C41" s="401" t="s">
        <v>486</v>
      </c>
      <c r="D41" s="402">
        <v>10</v>
      </c>
    </row>
    <row r="42" spans="1:4" ht="19.5" customHeight="1" thickBot="1">
      <c r="A42" s="399" t="s">
        <v>693</v>
      </c>
      <c r="B42" s="400" t="s">
        <v>487</v>
      </c>
      <c r="C42" s="401" t="s">
        <v>488</v>
      </c>
      <c r="D42" s="402">
        <v>5</v>
      </c>
    </row>
    <row r="43" spans="1:4" ht="23.25" customHeight="1" thickBot="1">
      <c r="A43" s="399" t="s">
        <v>694</v>
      </c>
      <c r="B43" s="400"/>
      <c r="C43" s="401" t="s">
        <v>695</v>
      </c>
      <c r="D43" s="978">
        <f>D9+D21+D35</f>
        <v>33113.056619999996</v>
      </c>
    </row>
    <row r="44" spans="1:4" ht="15" customHeight="1" thickBot="1">
      <c r="A44" s="985" t="s">
        <v>702</v>
      </c>
      <c r="B44" s="988"/>
      <c r="C44" s="414" t="s">
        <v>489</v>
      </c>
      <c r="D44" s="415">
        <f>D45+D46+D47</f>
        <v>1111.3110000000001</v>
      </c>
    </row>
    <row r="45" spans="1:4" ht="15.75" customHeight="1">
      <c r="A45" s="986"/>
      <c r="B45" s="989"/>
      <c r="C45" s="420" t="s">
        <v>490</v>
      </c>
      <c r="D45" s="416">
        <v>91.59</v>
      </c>
    </row>
    <row r="46" spans="1:4" ht="13.5" customHeight="1">
      <c r="A46" s="986"/>
      <c r="B46" s="989"/>
      <c r="C46" s="420" t="s">
        <v>491</v>
      </c>
      <c r="D46" s="417">
        <v>295.107</v>
      </c>
    </row>
    <row r="47" spans="1:4" ht="16.5" thickBot="1">
      <c r="A47" s="987"/>
      <c r="B47" s="990"/>
      <c r="C47" s="418" t="s">
        <v>492</v>
      </c>
      <c r="D47" s="419">
        <v>724.614</v>
      </c>
    </row>
    <row r="48" ht="12.75">
      <c r="D48" s="810">
        <f>D43+D44</f>
        <v>34224.36762</v>
      </c>
    </row>
  </sheetData>
  <sheetProtection/>
  <mergeCells count="3">
    <mergeCell ref="A4:D4"/>
    <mergeCell ref="A44:A47"/>
    <mergeCell ref="B44:B47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9">
      <selection activeCell="J21" sqref="J21"/>
    </sheetView>
  </sheetViews>
  <sheetFormatPr defaultColWidth="9.140625" defaultRowHeight="12.75"/>
  <cols>
    <col min="1" max="1" width="6.57421875" style="0" customWidth="1"/>
    <col min="2" max="2" width="3.57421875" style="0" customWidth="1"/>
    <col min="3" max="3" width="38.8515625" style="0" customWidth="1"/>
    <col min="4" max="5" width="12.8515625" style="0" customWidth="1"/>
  </cols>
  <sheetData>
    <row r="3" spans="3:7" ht="12.75">
      <c r="C3" s="287" t="s">
        <v>357</v>
      </c>
      <c r="D3" s="287" t="s">
        <v>358</v>
      </c>
      <c r="E3" s="287"/>
      <c r="F3" s="244"/>
      <c r="G3" s="244"/>
    </row>
    <row r="4" spans="3:7" ht="12.75" customHeight="1">
      <c r="C4" s="245" t="s">
        <v>356</v>
      </c>
      <c r="D4" s="1127" t="s">
        <v>365</v>
      </c>
      <c r="E4" s="1127"/>
      <c r="F4" s="1127"/>
      <c r="G4" s="245"/>
    </row>
    <row r="5" spans="3:7" ht="12.75">
      <c r="C5" s="245"/>
      <c r="D5" s="245"/>
      <c r="E5" s="245" t="s">
        <v>347</v>
      </c>
      <c r="F5" s="244"/>
      <c r="G5" s="244"/>
    </row>
    <row r="6" spans="2:6" ht="30" customHeight="1">
      <c r="B6" s="1122" t="s">
        <v>361</v>
      </c>
      <c r="C6" s="1122"/>
      <c r="D6" s="1123"/>
      <c r="E6" s="1123"/>
      <c r="F6" s="263"/>
    </row>
    <row r="7" spans="2:5" ht="14.25" customHeight="1" thickBot="1">
      <c r="B7" s="247"/>
      <c r="C7" s="247"/>
      <c r="D7" s="245"/>
      <c r="E7" s="245" t="s">
        <v>348</v>
      </c>
    </row>
    <row r="8" spans="2:5" ht="51">
      <c r="B8" s="1116" t="s">
        <v>331</v>
      </c>
      <c r="C8" s="1119" t="s">
        <v>332</v>
      </c>
      <c r="D8" s="262" t="s">
        <v>333</v>
      </c>
      <c r="E8" s="250" t="s">
        <v>334</v>
      </c>
    </row>
    <row r="9" spans="2:5" ht="12.75">
      <c r="B9" s="1117"/>
      <c r="C9" s="1120"/>
      <c r="D9" s="1120" t="s">
        <v>94</v>
      </c>
      <c r="E9" s="1125" t="s">
        <v>94</v>
      </c>
    </row>
    <row r="10" spans="2:5" ht="13.5" thickBot="1">
      <c r="B10" s="1118"/>
      <c r="C10" s="1121"/>
      <c r="D10" s="1124"/>
      <c r="E10" s="1126"/>
    </row>
    <row r="11" spans="2:5" ht="15">
      <c r="B11" s="258">
        <v>1</v>
      </c>
      <c r="C11" s="259" t="s">
        <v>335</v>
      </c>
      <c r="D11" s="260">
        <v>7571</v>
      </c>
      <c r="E11" s="261">
        <v>16484</v>
      </c>
    </row>
    <row r="12" spans="2:5" ht="15">
      <c r="B12" s="251">
        <v>2</v>
      </c>
      <c r="C12" s="246" t="s">
        <v>336</v>
      </c>
      <c r="D12" s="254">
        <v>12818</v>
      </c>
      <c r="E12" s="255">
        <v>28746</v>
      </c>
    </row>
    <row r="13" spans="2:5" ht="15">
      <c r="B13" s="251">
        <v>3</v>
      </c>
      <c r="C13" s="246" t="s">
        <v>337</v>
      </c>
      <c r="D13" s="254">
        <v>5397</v>
      </c>
      <c r="E13" s="255">
        <v>9561</v>
      </c>
    </row>
    <row r="14" spans="2:5" ht="15">
      <c r="B14" s="251">
        <v>4</v>
      </c>
      <c r="C14" s="246" t="s">
        <v>338</v>
      </c>
      <c r="D14" s="254">
        <v>20777</v>
      </c>
      <c r="E14" s="255">
        <v>26032</v>
      </c>
    </row>
    <row r="15" spans="2:5" ht="15">
      <c r="B15" s="251">
        <v>5</v>
      </c>
      <c r="C15" s="246" t="s">
        <v>339</v>
      </c>
      <c r="D15" s="254">
        <v>3673</v>
      </c>
      <c r="E15" s="255">
        <v>9474</v>
      </c>
    </row>
    <row r="16" spans="2:5" ht="15">
      <c r="B16" s="251">
        <v>6</v>
      </c>
      <c r="C16" s="246" t="s">
        <v>340</v>
      </c>
      <c r="D16" s="254">
        <v>6490</v>
      </c>
      <c r="E16" s="255">
        <v>18326</v>
      </c>
    </row>
    <row r="17" spans="2:5" ht="15">
      <c r="B17" s="251">
        <v>7</v>
      </c>
      <c r="C17" s="246" t="s">
        <v>341</v>
      </c>
      <c r="D17" s="254">
        <v>14167</v>
      </c>
      <c r="E17" s="255">
        <v>28386</v>
      </c>
    </row>
    <row r="18" spans="2:5" ht="15">
      <c r="B18" s="251">
        <v>8</v>
      </c>
      <c r="C18" s="246" t="s">
        <v>58</v>
      </c>
      <c r="D18" s="254">
        <v>53200</v>
      </c>
      <c r="E18" s="255">
        <v>79599</v>
      </c>
    </row>
    <row r="19" spans="2:5" ht="30">
      <c r="B19" s="251">
        <v>9</v>
      </c>
      <c r="C19" s="248" t="s">
        <v>342</v>
      </c>
      <c r="D19" s="254">
        <v>1649</v>
      </c>
      <c r="E19" s="255">
        <v>2930</v>
      </c>
    </row>
    <row r="20" spans="2:5" ht="30" customHeight="1">
      <c r="B20" s="251">
        <v>10</v>
      </c>
      <c r="C20" s="248" t="s">
        <v>343</v>
      </c>
      <c r="D20" s="254">
        <v>4523</v>
      </c>
      <c r="E20" s="255">
        <v>3317</v>
      </c>
    </row>
    <row r="21" spans="2:5" ht="15" customHeight="1">
      <c r="B21" s="251">
        <v>11</v>
      </c>
      <c r="C21" s="248" t="s">
        <v>86</v>
      </c>
      <c r="D21" s="254">
        <v>19491</v>
      </c>
      <c r="E21" s="255">
        <v>30401</v>
      </c>
    </row>
    <row r="22" spans="2:5" ht="15" customHeight="1">
      <c r="B22" s="251">
        <v>12</v>
      </c>
      <c r="C22" s="246" t="s">
        <v>60</v>
      </c>
      <c r="D22" s="254">
        <v>85760</v>
      </c>
      <c r="E22" s="255">
        <v>87319</v>
      </c>
    </row>
    <row r="23" spans="2:5" ht="15">
      <c r="B23" s="251">
        <v>13</v>
      </c>
      <c r="C23" s="246" t="s">
        <v>61</v>
      </c>
      <c r="D23" s="254">
        <v>92894</v>
      </c>
      <c r="E23" s="255">
        <v>97571</v>
      </c>
    </row>
    <row r="24" spans="2:5" ht="15">
      <c r="B24" s="251">
        <v>14</v>
      </c>
      <c r="C24" s="249" t="s">
        <v>62</v>
      </c>
      <c r="D24" s="254">
        <v>38382</v>
      </c>
      <c r="E24" s="255">
        <v>46511</v>
      </c>
    </row>
    <row r="25" spans="2:5" ht="15">
      <c r="B25" s="251">
        <v>15</v>
      </c>
      <c r="C25" s="246" t="s">
        <v>344</v>
      </c>
      <c r="D25" s="254">
        <v>6457</v>
      </c>
      <c r="E25" s="255">
        <v>18105</v>
      </c>
    </row>
    <row r="26" spans="2:5" ht="15">
      <c r="B26" s="251">
        <v>16</v>
      </c>
      <c r="C26" s="246" t="s">
        <v>63</v>
      </c>
      <c r="D26" s="254">
        <v>37923</v>
      </c>
      <c r="E26" s="255">
        <v>45354</v>
      </c>
    </row>
    <row r="27" spans="2:5" ht="30">
      <c r="B27" s="251">
        <v>17</v>
      </c>
      <c r="C27" s="248" t="s">
        <v>345</v>
      </c>
      <c r="D27" s="254">
        <v>3748</v>
      </c>
      <c r="E27" s="255">
        <v>7414</v>
      </c>
    </row>
    <row r="28" spans="2:5" ht="15" customHeight="1">
      <c r="B28" s="251">
        <v>18</v>
      </c>
      <c r="C28" s="246" t="s">
        <v>64</v>
      </c>
      <c r="D28" s="254">
        <v>30136</v>
      </c>
      <c r="E28" s="255">
        <v>56278</v>
      </c>
    </row>
    <row r="29" spans="2:5" ht="15">
      <c r="B29" s="251">
        <v>19</v>
      </c>
      <c r="C29" s="246" t="s">
        <v>65</v>
      </c>
      <c r="D29" s="254">
        <v>41531</v>
      </c>
      <c r="E29" s="255">
        <v>50765</v>
      </c>
    </row>
    <row r="30" spans="2:5" ht="15">
      <c r="B30" s="251">
        <v>20</v>
      </c>
      <c r="C30" s="246" t="s">
        <v>80</v>
      </c>
      <c r="D30" s="254">
        <v>6679</v>
      </c>
      <c r="E30" s="255">
        <v>47700</v>
      </c>
    </row>
    <row r="31" spans="2:5" ht="15">
      <c r="B31" s="251">
        <v>21</v>
      </c>
      <c r="C31" s="246" t="s">
        <v>180</v>
      </c>
      <c r="D31" s="254">
        <v>4198</v>
      </c>
      <c r="E31" s="255">
        <v>6609</v>
      </c>
    </row>
    <row r="32" spans="2:5" ht="15" customHeight="1" thickBot="1">
      <c r="B32" s="252">
        <v>22</v>
      </c>
      <c r="C32" s="253" t="s">
        <v>304</v>
      </c>
      <c r="D32" s="256">
        <v>5922</v>
      </c>
      <c r="E32" s="257">
        <v>14546</v>
      </c>
    </row>
    <row r="33" spans="2:5" ht="15" thickBot="1">
      <c r="B33" s="323"/>
      <c r="C33" s="324" t="s">
        <v>346</v>
      </c>
      <c r="D33" s="325">
        <f>+SUM(D11:D32)</f>
        <v>503386</v>
      </c>
      <c r="E33" s="326">
        <f>+SUM(E11:E32)</f>
        <v>731428</v>
      </c>
    </row>
  </sheetData>
  <sheetProtection/>
  <mergeCells count="6">
    <mergeCell ref="B8:B10"/>
    <mergeCell ref="C8:C10"/>
    <mergeCell ref="B6:E6"/>
    <mergeCell ref="D9:D10"/>
    <mergeCell ref="E9:E10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28">
      <selection activeCell="F44" sqref="F44:F45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12.28125" style="0" customWidth="1"/>
  </cols>
  <sheetData>
    <row r="1" ht="17.25" customHeight="1">
      <c r="B1" s="2" t="s">
        <v>496</v>
      </c>
    </row>
    <row r="2" spans="2:3" ht="16.5" customHeight="1">
      <c r="B2" s="1" t="s">
        <v>497</v>
      </c>
      <c r="C2" s="1"/>
    </row>
    <row r="3" ht="16.5" customHeight="1">
      <c r="B3" s="1" t="s">
        <v>498</v>
      </c>
    </row>
    <row r="4" ht="18" customHeight="1">
      <c r="B4" s="422" t="s">
        <v>499</v>
      </c>
    </row>
    <row r="5" ht="18" customHeight="1">
      <c r="B5" s="1" t="s">
        <v>500</v>
      </c>
    </row>
    <row r="6" spans="1:3" ht="34.5" customHeight="1">
      <c r="A6" s="440" t="s">
        <v>0</v>
      </c>
      <c r="B6" s="424" t="s">
        <v>501</v>
      </c>
      <c r="C6" s="423" t="s">
        <v>502</v>
      </c>
    </row>
    <row r="7" spans="1:3" ht="39.75" customHeight="1">
      <c r="A7" s="425">
        <v>1</v>
      </c>
      <c r="B7" s="991" t="s">
        <v>672</v>
      </c>
      <c r="C7" s="992"/>
    </row>
    <row r="8" spans="1:3" ht="15" customHeight="1">
      <c r="A8" s="425">
        <v>2</v>
      </c>
      <c r="B8" s="426" t="s">
        <v>503</v>
      </c>
      <c r="C8" s="427">
        <f>C9+C10+C11</f>
        <v>32.6</v>
      </c>
    </row>
    <row r="9" spans="1:3" ht="15" customHeight="1">
      <c r="A9" s="425">
        <v>3</v>
      </c>
      <c r="B9" s="428" t="s">
        <v>30</v>
      </c>
      <c r="C9" s="424">
        <v>25.1</v>
      </c>
    </row>
    <row r="10" spans="1:3" ht="15.75" customHeight="1">
      <c r="A10" s="425">
        <v>4</v>
      </c>
      <c r="B10" s="429" t="s">
        <v>504</v>
      </c>
      <c r="C10" s="424">
        <v>7</v>
      </c>
    </row>
    <row r="11" spans="1:3" ht="15" customHeight="1">
      <c r="A11" s="425">
        <v>5</v>
      </c>
      <c r="B11" s="429" t="s">
        <v>505</v>
      </c>
      <c r="C11" s="424">
        <v>0.5</v>
      </c>
    </row>
    <row r="12" spans="1:3" ht="16.5" customHeight="1">
      <c r="A12" s="425">
        <v>6</v>
      </c>
      <c r="B12" s="426" t="s">
        <v>506</v>
      </c>
      <c r="C12" s="426">
        <f>C13+C14+C15</f>
        <v>987.1000000000001</v>
      </c>
    </row>
    <row r="13" spans="1:3" ht="16.5" customHeight="1">
      <c r="A13" s="425">
        <v>7</v>
      </c>
      <c r="B13" s="429" t="s">
        <v>32</v>
      </c>
      <c r="C13" s="424">
        <v>960.2</v>
      </c>
    </row>
    <row r="14" spans="1:3" ht="18.75" customHeight="1">
      <c r="A14" s="425">
        <v>8</v>
      </c>
      <c r="B14" s="429" t="s">
        <v>507</v>
      </c>
      <c r="C14" s="424">
        <v>17.7</v>
      </c>
    </row>
    <row r="15" spans="1:3" ht="18" customHeight="1">
      <c r="A15" s="425">
        <v>9</v>
      </c>
      <c r="B15" s="429" t="s">
        <v>31</v>
      </c>
      <c r="C15" s="424">
        <v>9.2</v>
      </c>
    </row>
    <row r="16" spans="1:3" ht="18" customHeight="1">
      <c r="A16" s="425">
        <v>10</v>
      </c>
      <c r="B16" s="426" t="s">
        <v>508</v>
      </c>
      <c r="C16" s="426">
        <f>SUM(C17:C22)</f>
        <v>1449.3000000000002</v>
      </c>
    </row>
    <row r="17" spans="1:3" ht="16.5" customHeight="1">
      <c r="A17" s="425">
        <v>11</v>
      </c>
      <c r="B17" s="430" t="s">
        <v>509</v>
      </c>
      <c r="C17" s="424">
        <v>212.4</v>
      </c>
    </row>
    <row r="18" spans="1:3" ht="17.25" customHeight="1">
      <c r="A18" s="425">
        <v>12</v>
      </c>
      <c r="B18" s="429" t="s">
        <v>33</v>
      </c>
      <c r="C18" s="424">
        <v>391.7</v>
      </c>
    </row>
    <row r="19" spans="1:3" ht="15.75" customHeight="1">
      <c r="A19" s="425">
        <v>13</v>
      </c>
      <c r="B19" s="429" t="s">
        <v>510</v>
      </c>
      <c r="C19" s="424">
        <v>584.2</v>
      </c>
    </row>
    <row r="20" spans="1:3" ht="18.75" customHeight="1">
      <c r="A20" s="425">
        <v>14</v>
      </c>
      <c r="B20" s="429" t="s">
        <v>511</v>
      </c>
      <c r="C20" s="424">
        <v>16</v>
      </c>
    </row>
    <row r="21" spans="1:3" ht="19.5" customHeight="1">
      <c r="A21" s="425">
        <v>15</v>
      </c>
      <c r="B21" s="430" t="s">
        <v>512</v>
      </c>
      <c r="C21" s="424">
        <v>0.1</v>
      </c>
    </row>
    <row r="22" spans="1:3" ht="24.75" customHeight="1">
      <c r="A22" s="425">
        <v>16</v>
      </c>
      <c r="B22" s="430" t="s">
        <v>513</v>
      </c>
      <c r="C22" s="424">
        <v>244.9</v>
      </c>
    </row>
    <row r="23" spans="1:3" ht="15.75" customHeight="1" hidden="1">
      <c r="A23" s="425" t="s">
        <v>17</v>
      </c>
      <c r="B23" s="426" t="s">
        <v>514</v>
      </c>
      <c r="C23" s="426">
        <f>C24+C25</f>
        <v>260.5</v>
      </c>
    </row>
    <row r="24" spans="1:3" ht="16.5" customHeight="1">
      <c r="A24" s="425">
        <v>17</v>
      </c>
      <c r="B24" s="430" t="s">
        <v>78</v>
      </c>
      <c r="C24" s="424">
        <v>252.8</v>
      </c>
    </row>
    <row r="25" spans="1:3" ht="14.25" customHeight="1">
      <c r="A25" s="425">
        <v>18</v>
      </c>
      <c r="B25" s="429" t="s">
        <v>88</v>
      </c>
      <c r="C25" s="424">
        <v>7.7</v>
      </c>
    </row>
    <row r="26" spans="1:3" ht="16.5" customHeight="1">
      <c r="A26" s="425">
        <v>19</v>
      </c>
      <c r="B26" s="426" t="s">
        <v>515</v>
      </c>
      <c r="C26" s="431">
        <f>C27+C28+C29</f>
        <v>499.688</v>
      </c>
    </row>
    <row r="27" spans="1:3" ht="16.5" customHeight="1">
      <c r="A27" s="425">
        <v>20</v>
      </c>
      <c r="B27" s="429" t="s">
        <v>516</v>
      </c>
      <c r="C27" s="424">
        <v>204.4</v>
      </c>
    </row>
    <row r="28" spans="1:3" ht="15" customHeight="1">
      <c r="A28" s="425">
        <v>21</v>
      </c>
      <c r="B28" s="429" t="s">
        <v>517</v>
      </c>
      <c r="C28" s="424">
        <v>287</v>
      </c>
    </row>
    <row r="29" spans="1:3" ht="18" customHeight="1">
      <c r="A29" s="425">
        <v>22</v>
      </c>
      <c r="B29" s="432" t="s">
        <v>518</v>
      </c>
      <c r="C29" s="433">
        <v>8.288</v>
      </c>
    </row>
    <row r="30" spans="1:3" ht="21.75" customHeight="1">
      <c r="A30" s="425">
        <v>23</v>
      </c>
      <c r="B30" s="434" t="s">
        <v>519</v>
      </c>
      <c r="C30" s="426">
        <f>C31</f>
        <v>9.9</v>
      </c>
    </row>
    <row r="31" spans="1:3" ht="19.5" customHeight="1">
      <c r="A31" s="425">
        <v>24</v>
      </c>
      <c r="B31" s="430" t="s">
        <v>520</v>
      </c>
      <c r="C31" s="435">
        <v>9.9</v>
      </c>
    </row>
    <row r="32" spans="1:3" ht="18" customHeight="1">
      <c r="A32" s="425">
        <v>25</v>
      </c>
      <c r="B32" s="426" t="s">
        <v>521</v>
      </c>
      <c r="C32" s="426">
        <f>C33</f>
        <v>27.4</v>
      </c>
    </row>
    <row r="33" spans="1:3" ht="20.25" customHeight="1">
      <c r="A33" s="425">
        <v>26</v>
      </c>
      <c r="B33" s="430" t="s">
        <v>34</v>
      </c>
      <c r="C33" s="435">
        <v>27.4</v>
      </c>
    </row>
    <row r="34" spans="1:3" ht="19.5" customHeight="1">
      <c r="A34" s="425">
        <v>27</v>
      </c>
      <c r="B34" s="426" t="s">
        <v>522</v>
      </c>
      <c r="C34" s="426">
        <f>C35</f>
        <v>0.2</v>
      </c>
    </row>
    <row r="35" spans="1:3" ht="21" customHeight="1">
      <c r="A35" s="425">
        <v>28</v>
      </c>
      <c r="B35" s="430" t="s">
        <v>523</v>
      </c>
      <c r="C35" s="435">
        <v>0.2</v>
      </c>
    </row>
    <row r="36" spans="1:3" ht="17.25" customHeight="1">
      <c r="A36" s="425">
        <v>29</v>
      </c>
      <c r="B36" s="426" t="s">
        <v>524</v>
      </c>
      <c r="C36" s="426">
        <f>C37</f>
        <v>8.228</v>
      </c>
    </row>
    <row r="37" spans="1:3" ht="20.25" customHeight="1">
      <c r="A37" s="425">
        <v>30</v>
      </c>
      <c r="B37" s="430" t="s">
        <v>525</v>
      </c>
      <c r="C37" s="435">
        <v>8.228</v>
      </c>
    </row>
    <row r="38" spans="1:3" ht="18.75" customHeight="1">
      <c r="A38" s="425">
        <v>31</v>
      </c>
      <c r="B38" s="438" t="s">
        <v>526</v>
      </c>
      <c r="C38" s="439">
        <f>C8+C12+C16+C23+C26+C30+C32+C34+C36</f>
        <v>3274.9160000000006</v>
      </c>
    </row>
    <row r="39" spans="1:3" ht="20.25" customHeight="1">
      <c r="A39" s="425">
        <v>32</v>
      </c>
      <c r="B39" s="426" t="s">
        <v>527</v>
      </c>
      <c r="C39" s="766">
        <f>C40+C42+C41+C43+C44+C45</f>
        <v>7017.760020000001</v>
      </c>
    </row>
    <row r="40" spans="1:3" ht="15.75">
      <c r="A40" s="425">
        <v>33</v>
      </c>
      <c r="B40" s="429" t="s">
        <v>313</v>
      </c>
      <c r="C40" s="436">
        <v>6707.6</v>
      </c>
    </row>
    <row r="41" spans="1:3" ht="31.5">
      <c r="A41" s="425">
        <v>34</v>
      </c>
      <c r="B41" s="437" t="s">
        <v>528</v>
      </c>
      <c r="C41" s="436">
        <v>121.3</v>
      </c>
    </row>
    <row r="42" spans="1:3" ht="31.5">
      <c r="A42" s="425">
        <v>35</v>
      </c>
      <c r="B42" s="443" t="s">
        <v>529</v>
      </c>
      <c r="C42" s="436">
        <v>0.8</v>
      </c>
    </row>
    <row r="43" spans="1:3" ht="36.75" customHeight="1">
      <c r="A43" s="441">
        <v>36</v>
      </c>
      <c r="B43" s="445" t="s">
        <v>474</v>
      </c>
      <c r="C43" s="442">
        <v>31.5</v>
      </c>
    </row>
    <row r="44" spans="1:3" ht="14.25" customHeight="1">
      <c r="A44" s="425">
        <v>37</v>
      </c>
      <c r="B44" s="762" t="s">
        <v>662</v>
      </c>
      <c r="C44" s="765">
        <v>93</v>
      </c>
    </row>
    <row r="45" spans="1:3" ht="16.5" customHeight="1" thickBot="1">
      <c r="A45" s="425">
        <v>38</v>
      </c>
      <c r="B45" s="976" t="s">
        <v>701</v>
      </c>
      <c r="C45" s="977">
        <v>63.56002</v>
      </c>
    </row>
    <row r="46" spans="1:3" ht="14.25" customHeight="1">
      <c r="A46" s="425">
        <v>39</v>
      </c>
      <c r="B46" s="767" t="s">
        <v>664</v>
      </c>
      <c r="C46" s="817">
        <v>19.1826</v>
      </c>
    </row>
    <row r="47" spans="1:3" ht="21.75" customHeight="1">
      <c r="A47" s="425">
        <v>40</v>
      </c>
      <c r="B47" s="814" t="s">
        <v>657</v>
      </c>
      <c r="C47" s="764">
        <v>19.1826</v>
      </c>
    </row>
    <row r="48" spans="1:3" ht="21.75" customHeight="1">
      <c r="A48" s="441">
        <v>41</v>
      </c>
      <c r="B48" s="815" t="s">
        <v>679</v>
      </c>
      <c r="C48" s="817">
        <v>1955</v>
      </c>
    </row>
    <row r="49" spans="1:3" ht="15" customHeight="1">
      <c r="A49" s="441">
        <v>42</v>
      </c>
      <c r="B49" s="816" t="s">
        <v>675</v>
      </c>
      <c r="C49" s="764">
        <v>1955</v>
      </c>
    </row>
    <row r="50" spans="1:3" ht="15.75">
      <c r="A50" s="425">
        <v>43</v>
      </c>
      <c r="B50" s="444" t="s">
        <v>530</v>
      </c>
      <c r="C50" s="763">
        <f>C39+C38+C46+C48</f>
        <v>12266.85862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1">
      <selection activeCell="K29" sqref="K29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5:8" ht="12.75">
      <c r="E1" s="993" t="s">
        <v>70</v>
      </c>
      <c r="F1" s="993"/>
      <c r="G1" s="993"/>
      <c r="H1" s="993"/>
    </row>
    <row r="2" spans="5:8" ht="12.75">
      <c r="E2" s="993" t="s">
        <v>364</v>
      </c>
      <c r="F2" s="993"/>
      <c r="G2" s="993"/>
      <c r="H2" s="993"/>
    </row>
    <row r="3" spans="3:8" ht="15.75">
      <c r="C3" s="289" t="s">
        <v>35</v>
      </c>
      <c r="D3" s="288"/>
      <c r="E3" s="288"/>
      <c r="F3" s="288"/>
      <c r="G3" s="288"/>
      <c r="H3" s="288"/>
    </row>
    <row r="4" spans="3:8" ht="15.75">
      <c r="C4" s="994" t="s">
        <v>360</v>
      </c>
      <c r="D4" s="994"/>
      <c r="E4" s="994"/>
      <c r="F4" s="994"/>
      <c r="G4" s="994"/>
      <c r="H4" s="994"/>
    </row>
    <row r="5" spans="3:8" ht="15.75">
      <c r="C5" s="994" t="s">
        <v>355</v>
      </c>
      <c r="D5" s="994"/>
      <c r="E5" s="994"/>
      <c r="F5" s="994"/>
      <c r="G5" s="994"/>
      <c r="H5" s="994"/>
    </row>
    <row r="6" spans="3:8" ht="16.5" thickBot="1">
      <c r="C6" s="288"/>
      <c r="D6" s="288"/>
      <c r="E6" s="288"/>
      <c r="F6" s="288"/>
      <c r="G6" s="289" t="s">
        <v>82</v>
      </c>
      <c r="H6" s="288"/>
    </row>
    <row r="7" spans="3:8" ht="12.75" customHeight="1">
      <c r="C7" s="1006"/>
      <c r="D7" s="995" t="s">
        <v>36</v>
      </c>
      <c r="E7" s="1003" t="s">
        <v>330</v>
      </c>
      <c r="F7" s="1004"/>
      <c r="G7" s="1004"/>
      <c r="H7" s="1005"/>
    </row>
    <row r="8" spans="3:8" ht="17.25" customHeight="1">
      <c r="C8" s="1007"/>
      <c r="D8" s="996"/>
      <c r="E8" s="998" t="s">
        <v>94</v>
      </c>
      <c r="F8" s="1000" t="s">
        <v>314</v>
      </c>
      <c r="G8" s="1001"/>
      <c r="H8" s="1002"/>
    </row>
    <row r="9" spans="3:8" ht="42.75" customHeight="1" thickBot="1">
      <c r="C9" s="1008"/>
      <c r="D9" s="997"/>
      <c r="E9" s="999"/>
      <c r="F9" s="290" t="s">
        <v>315</v>
      </c>
      <c r="G9" s="290" t="s">
        <v>316</v>
      </c>
      <c r="H9" s="291" t="s">
        <v>317</v>
      </c>
    </row>
    <row r="10" spans="3:8" ht="12.75" customHeight="1">
      <c r="C10" s="292">
        <v>1</v>
      </c>
      <c r="D10" s="293" t="s">
        <v>353</v>
      </c>
      <c r="E10" s="294">
        <f>F10+G10+H10</f>
        <v>29</v>
      </c>
      <c r="F10" s="295"/>
      <c r="G10" s="296">
        <v>27.79</v>
      </c>
      <c r="H10" s="297">
        <v>1.21</v>
      </c>
    </row>
    <row r="11" spans="3:8" ht="12.75" customHeight="1">
      <c r="C11" s="298">
        <v>2</v>
      </c>
      <c r="D11" s="299" t="s">
        <v>37</v>
      </c>
      <c r="E11" s="300">
        <f>F11+G11+H11</f>
        <v>60</v>
      </c>
      <c r="F11" s="301"/>
      <c r="G11" s="302">
        <v>32</v>
      </c>
      <c r="H11" s="303">
        <v>28</v>
      </c>
    </row>
    <row r="12" spans="3:8" ht="12.75" customHeight="1">
      <c r="C12" s="298">
        <v>3</v>
      </c>
      <c r="D12" s="299" t="s">
        <v>38</v>
      </c>
      <c r="E12" s="300">
        <f aca="true" t="shared" si="0" ref="E12:E59">F12+G12+H12</f>
        <v>59.8</v>
      </c>
      <c r="F12" s="302"/>
      <c r="G12" s="302">
        <v>4.684</v>
      </c>
      <c r="H12" s="303">
        <v>55.116</v>
      </c>
    </row>
    <row r="13" spans="3:8" ht="12.75" customHeight="1">
      <c r="C13" s="298">
        <v>4</v>
      </c>
      <c r="D13" s="304" t="s">
        <v>318</v>
      </c>
      <c r="E13" s="300">
        <f t="shared" si="0"/>
        <v>3.8</v>
      </c>
      <c r="F13" s="305"/>
      <c r="G13" s="305">
        <v>0.4</v>
      </c>
      <c r="H13" s="306">
        <v>3.4</v>
      </c>
    </row>
    <row r="14" spans="3:8" ht="12.75" customHeight="1">
      <c r="C14" s="298">
        <v>5</v>
      </c>
      <c r="D14" s="304" t="s">
        <v>319</v>
      </c>
      <c r="E14" s="300">
        <f t="shared" si="0"/>
        <v>21</v>
      </c>
      <c r="F14" s="305">
        <v>18</v>
      </c>
      <c r="G14" s="305">
        <v>1.5</v>
      </c>
      <c r="H14" s="306">
        <v>1.5</v>
      </c>
    </row>
    <row r="15" spans="3:8" ht="12.75" customHeight="1">
      <c r="C15" s="298">
        <v>6</v>
      </c>
      <c r="D15" s="304" t="s">
        <v>40</v>
      </c>
      <c r="E15" s="300">
        <f t="shared" si="0"/>
        <v>75</v>
      </c>
      <c r="F15" s="305">
        <v>74.5</v>
      </c>
      <c r="G15" s="305"/>
      <c r="H15" s="306">
        <v>0.5</v>
      </c>
    </row>
    <row r="16" spans="3:8" ht="12.75" customHeight="1">
      <c r="C16" s="298">
        <v>7</v>
      </c>
      <c r="D16" s="304" t="s">
        <v>320</v>
      </c>
      <c r="E16" s="300">
        <f t="shared" si="0"/>
        <v>305.8</v>
      </c>
      <c r="F16" s="305"/>
      <c r="G16" s="305"/>
      <c r="H16" s="306">
        <v>305.8</v>
      </c>
    </row>
    <row r="17" spans="3:8" ht="12.75" customHeight="1">
      <c r="C17" s="298">
        <v>8</v>
      </c>
      <c r="D17" s="304" t="s">
        <v>42</v>
      </c>
      <c r="E17" s="300">
        <f t="shared" si="0"/>
        <v>0.7</v>
      </c>
      <c r="F17" s="305"/>
      <c r="G17" s="305">
        <v>0.1</v>
      </c>
      <c r="H17" s="306">
        <v>0.6</v>
      </c>
    </row>
    <row r="18" spans="3:8" ht="13.5" customHeight="1">
      <c r="C18" s="298">
        <v>9</v>
      </c>
      <c r="D18" s="304" t="s">
        <v>43</v>
      </c>
      <c r="E18" s="300">
        <f t="shared" si="0"/>
        <v>1.6</v>
      </c>
      <c r="F18" s="305"/>
      <c r="G18" s="305">
        <v>1.3</v>
      </c>
      <c r="H18" s="306">
        <v>0.3</v>
      </c>
    </row>
    <row r="19" spans="3:8" ht="12.75" customHeight="1">
      <c r="C19" s="298">
        <v>10</v>
      </c>
      <c r="D19" s="304" t="s">
        <v>44</v>
      </c>
      <c r="E19" s="300">
        <f t="shared" si="0"/>
        <v>4</v>
      </c>
      <c r="F19" s="305"/>
      <c r="G19" s="305">
        <v>3</v>
      </c>
      <c r="H19" s="306">
        <v>1</v>
      </c>
    </row>
    <row r="20" spans="3:8" ht="12.75" customHeight="1">
      <c r="C20" s="298">
        <v>11</v>
      </c>
      <c r="D20" s="304" t="s">
        <v>45</v>
      </c>
      <c r="E20" s="300">
        <f t="shared" si="0"/>
        <v>0.2</v>
      </c>
      <c r="F20" s="305"/>
      <c r="G20" s="305"/>
      <c r="H20" s="306">
        <v>0.2</v>
      </c>
    </row>
    <row r="21" spans="3:8" ht="12.75" customHeight="1">
      <c r="C21" s="298">
        <v>12</v>
      </c>
      <c r="D21" s="304" t="s">
        <v>46</v>
      </c>
      <c r="E21" s="300">
        <f t="shared" si="0"/>
        <v>4</v>
      </c>
      <c r="F21" s="305"/>
      <c r="G21" s="305">
        <v>3.43</v>
      </c>
      <c r="H21" s="306">
        <v>0.57</v>
      </c>
    </row>
    <row r="22" spans="3:8" ht="12.75" customHeight="1">
      <c r="C22" s="298">
        <v>13</v>
      </c>
      <c r="D22" s="304" t="s">
        <v>47</v>
      </c>
      <c r="E22" s="300">
        <f t="shared" si="0"/>
        <v>1.2000000000000002</v>
      </c>
      <c r="F22" s="305"/>
      <c r="G22" s="305">
        <v>0.4</v>
      </c>
      <c r="H22" s="306">
        <v>0.8</v>
      </c>
    </row>
    <row r="23" spans="3:8" ht="12.75" customHeight="1">
      <c r="C23" s="298">
        <v>14</v>
      </c>
      <c r="D23" s="304" t="s">
        <v>48</v>
      </c>
      <c r="E23" s="300">
        <f t="shared" si="0"/>
        <v>0.8300000000000001</v>
      </c>
      <c r="F23" s="305"/>
      <c r="G23" s="305">
        <v>0.4</v>
      </c>
      <c r="H23" s="306">
        <v>0.43</v>
      </c>
    </row>
    <row r="24" spans="3:8" ht="12.75" customHeight="1">
      <c r="C24" s="298">
        <v>15</v>
      </c>
      <c r="D24" s="304" t="s">
        <v>49</v>
      </c>
      <c r="E24" s="300">
        <f t="shared" si="0"/>
        <v>0.3</v>
      </c>
      <c r="F24" s="305"/>
      <c r="G24" s="305">
        <v>0.3</v>
      </c>
      <c r="H24" s="306"/>
    </row>
    <row r="25" spans="3:8" ht="12.75" customHeight="1">
      <c r="C25" s="298">
        <v>16</v>
      </c>
      <c r="D25" s="304" t="s">
        <v>50</v>
      </c>
      <c r="E25" s="300">
        <f t="shared" si="0"/>
        <v>2.5</v>
      </c>
      <c r="F25" s="305"/>
      <c r="G25" s="305">
        <v>1</v>
      </c>
      <c r="H25" s="306">
        <v>1.5</v>
      </c>
    </row>
    <row r="26" spans="3:8" ht="12.75" customHeight="1">
      <c r="C26" s="298">
        <v>17</v>
      </c>
      <c r="D26" s="304" t="s">
        <v>51</v>
      </c>
      <c r="E26" s="300">
        <f t="shared" si="0"/>
        <v>1.968</v>
      </c>
      <c r="F26" s="305"/>
      <c r="G26" s="305">
        <v>1.968</v>
      </c>
      <c r="H26" s="306"/>
    </row>
    <row r="27" spans="3:8" ht="12.75" customHeight="1">
      <c r="C27" s="298">
        <v>18</v>
      </c>
      <c r="D27" s="304" t="s">
        <v>311</v>
      </c>
      <c r="E27" s="300">
        <f t="shared" si="0"/>
        <v>185</v>
      </c>
      <c r="F27" s="305"/>
      <c r="G27" s="305">
        <v>10</v>
      </c>
      <c r="H27" s="306">
        <v>175</v>
      </c>
    </row>
    <row r="28" spans="3:8" ht="12.75">
      <c r="C28" s="298">
        <v>19</v>
      </c>
      <c r="D28" s="304" t="s">
        <v>321</v>
      </c>
      <c r="E28" s="300">
        <f t="shared" si="0"/>
        <v>18.1</v>
      </c>
      <c r="F28" s="305"/>
      <c r="G28" s="305"/>
      <c r="H28" s="306">
        <v>18.1</v>
      </c>
    </row>
    <row r="29" spans="3:8" ht="12.75">
      <c r="C29" s="298">
        <v>20</v>
      </c>
      <c r="D29" s="299" t="s">
        <v>52</v>
      </c>
      <c r="E29" s="300">
        <f t="shared" si="0"/>
        <v>35</v>
      </c>
      <c r="F29" s="302">
        <v>33.3</v>
      </c>
      <c r="G29" s="302"/>
      <c r="H29" s="303">
        <v>1.7</v>
      </c>
    </row>
    <row r="30" spans="3:8" ht="12.75">
      <c r="C30" s="298">
        <v>21</v>
      </c>
      <c r="D30" s="299" t="s">
        <v>53</v>
      </c>
      <c r="E30" s="300">
        <f t="shared" si="0"/>
        <v>72.954</v>
      </c>
      <c r="F30" s="302">
        <v>72.954</v>
      </c>
      <c r="G30" s="302"/>
      <c r="H30" s="303"/>
    </row>
    <row r="31" spans="3:8" ht="12.75">
      <c r="C31" s="298">
        <v>22</v>
      </c>
      <c r="D31" s="304" t="s">
        <v>54</v>
      </c>
      <c r="E31" s="300">
        <f t="shared" si="0"/>
        <v>17.5</v>
      </c>
      <c r="F31" s="305">
        <v>15.95</v>
      </c>
      <c r="G31" s="305"/>
      <c r="H31" s="306">
        <v>1.55</v>
      </c>
    </row>
    <row r="32" spans="3:8" ht="12.75">
      <c r="C32" s="298">
        <v>23</v>
      </c>
      <c r="D32" s="304" t="s">
        <v>56</v>
      </c>
      <c r="E32" s="300">
        <f t="shared" si="0"/>
        <v>66</v>
      </c>
      <c r="F32" s="305">
        <v>42</v>
      </c>
      <c r="G32" s="305"/>
      <c r="H32" s="306">
        <v>24</v>
      </c>
    </row>
    <row r="33" spans="3:8" ht="12.75">
      <c r="C33" s="298">
        <v>24</v>
      </c>
      <c r="D33" s="304" t="s">
        <v>165</v>
      </c>
      <c r="E33" s="300">
        <f t="shared" si="0"/>
        <v>11.7</v>
      </c>
      <c r="F33" s="305">
        <v>11</v>
      </c>
      <c r="G33" s="305"/>
      <c r="H33" s="306">
        <v>0.7</v>
      </c>
    </row>
    <row r="34" spans="3:8" ht="12.75">
      <c r="C34" s="298">
        <v>25</v>
      </c>
      <c r="D34" s="304" t="s">
        <v>166</v>
      </c>
      <c r="E34" s="300">
        <f t="shared" si="0"/>
        <v>9.8</v>
      </c>
      <c r="F34" s="305">
        <v>8.8</v>
      </c>
      <c r="G34" s="305"/>
      <c r="H34" s="306">
        <v>1</v>
      </c>
    </row>
    <row r="35" spans="3:8" ht="12.75">
      <c r="C35" s="298">
        <v>26</v>
      </c>
      <c r="D35" s="304" t="s">
        <v>57</v>
      </c>
      <c r="E35" s="300">
        <f t="shared" si="0"/>
        <v>69.60000000000001</v>
      </c>
      <c r="F35" s="305">
        <v>69.456</v>
      </c>
      <c r="G35" s="305">
        <v>0.144</v>
      </c>
      <c r="H35" s="306"/>
    </row>
    <row r="36" spans="3:8" ht="12.75">
      <c r="C36" s="298">
        <v>27</v>
      </c>
      <c r="D36" s="304" t="s">
        <v>58</v>
      </c>
      <c r="E36" s="300">
        <f t="shared" si="0"/>
        <v>16.5</v>
      </c>
      <c r="F36" s="305"/>
      <c r="G36" s="305">
        <v>3</v>
      </c>
      <c r="H36" s="306">
        <v>13.5</v>
      </c>
    </row>
    <row r="37" spans="3:8" ht="12.75">
      <c r="C37" s="298">
        <v>28</v>
      </c>
      <c r="D37" s="307" t="s">
        <v>322</v>
      </c>
      <c r="E37" s="300">
        <f t="shared" si="0"/>
        <v>6</v>
      </c>
      <c r="F37" s="305">
        <v>4.5</v>
      </c>
      <c r="G37" s="305"/>
      <c r="H37" s="306">
        <v>1.5</v>
      </c>
    </row>
    <row r="38" spans="3:8" ht="12.75">
      <c r="C38" s="298">
        <v>29</v>
      </c>
      <c r="D38" s="307" t="s">
        <v>323</v>
      </c>
      <c r="E38" s="300">
        <f t="shared" si="0"/>
        <v>2.5</v>
      </c>
      <c r="F38" s="305">
        <v>1.85</v>
      </c>
      <c r="G38" s="305">
        <v>0.15</v>
      </c>
      <c r="H38" s="306">
        <v>0.5</v>
      </c>
    </row>
    <row r="39" spans="3:8" ht="12.75">
      <c r="C39" s="298">
        <v>30</v>
      </c>
      <c r="D39" s="304" t="s">
        <v>59</v>
      </c>
      <c r="E39" s="300">
        <f t="shared" si="0"/>
        <v>0.5</v>
      </c>
      <c r="F39" s="305"/>
      <c r="G39" s="305"/>
      <c r="H39" s="306">
        <v>0.5</v>
      </c>
    </row>
    <row r="40" spans="3:8" ht="15.75" customHeight="1">
      <c r="C40" s="298">
        <v>31</v>
      </c>
      <c r="D40" s="304" t="s">
        <v>60</v>
      </c>
      <c r="E40" s="300">
        <f t="shared" si="0"/>
        <v>74</v>
      </c>
      <c r="F40" s="305"/>
      <c r="G40" s="305"/>
      <c r="H40" s="306">
        <v>74</v>
      </c>
    </row>
    <row r="41" spans="3:8" ht="12.75">
      <c r="C41" s="298">
        <v>32</v>
      </c>
      <c r="D41" s="304" t="s">
        <v>324</v>
      </c>
      <c r="E41" s="300">
        <f t="shared" si="0"/>
        <v>5</v>
      </c>
      <c r="F41" s="305">
        <v>1</v>
      </c>
      <c r="G41" s="305"/>
      <c r="H41" s="306">
        <v>4</v>
      </c>
    </row>
    <row r="42" spans="3:8" ht="12.75">
      <c r="C42" s="298">
        <v>33</v>
      </c>
      <c r="D42" s="304" t="s">
        <v>61</v>
      </c>
      <c r="E42" s="300">
        <f t="shared" si="0"/>
        <v>37.980000000000004</v>
      </c>
      <c r="F42" s="305"/>
      <c r="G42" s="305">
        <v>0.2</v>
      </c>
      <c r="H42" s="306">
        <v>37.78</v>
      </c>
    </row>
    <row r="43" spans="3:8" ht="12.75">
      <c r="C43" s="298">
        <v>34</v>
      </c>
      <c r="D43" s="304" t="s">
        <v>62</v>
      </c>
      <c r="E43" s="300">
        <f t="shared" si="0"/>
        <v>17</v>
      </c>
      <c r="F43" s="305"/>
      <c r="G43" s="305"/>
      <c r="H43" s="306">
        <v>17</v>
      </c>
    </row>
    <row r="44" spans="3:8" ht="12.75">
      <c r="C44" s="298">
        <v>35</v>
      </c>
      <c r="D44" s="307" t="s">
        <v>325</v>
      </c>
      <c r="E44" s="300">
        <f t="shared" si="0"/>
        <v>6</v>
      </c>
      <c r="F44" s="305">
        <v>6</v>
      </c>
      <c r="G44" s="305"/>
      <c r="H44" s="306"/>
    </row>
    <row r="45" spans="3:8" ht="12.75">
      <c r="C45" s="298">
        <v>36</v>
      </c>
      <c r="D45" s="304" t="s">
        <v>306</v>
      </c>
      <c r="E45" s="300">
        <f t="shared" si="0"/>
        <v>7</v>
      </c>
      <c r="F45" s="305"/>
      <c r="G45" s="305">
        <v>0.3</v>
      </c>
      <c r="H45" s="306">
        <v>6.7</v>
      </c>
    </row>
    <row r="46" spans="3:8" ht="12.75">
      <c r="C46" s="298">
        <v>37</v>
      </c>
      <c r="D46" s="304" t="s">
        <v>63</v>
      </c>
      <c r="E46" s="300">
        <f t="shared" si="0"/>
        <v>14.6</v>
      </c>
      <c r="F46" s="305"/>
      <c r="G46" s="305"/>
      <c r="H46" s="306">
        <v>14.6</v>
      </c>
    </row>
    <row r="47" spans="3:8" ht="12.75">
      <c r="C47" s="298">
        <v>38</v>
      </c>
      <c r="D47" s="307" t="s">
        <v>326</v>
      </c>
      <c r="E47" s="300">
        <f t="shared" si="0"/>
        <v>8.526</v>
      </c>
      <c r="F47" s="305">
        <v>8.526</v>
      </c>
      <c r="G47" s="305"/>
      <c r="H47" s="306"/>
    </row>
    <row r="48" spans="3:8" ht="12.75">
      <c r="C48" s="298">
        <v>39</v>
      </c>
      <c r="D48" s="307" t="s">
        <v>327</v>
      </c>
      <c r="E48" s="300">
        <f t="shared" si="0"/>
        <v>2.457</v>
      </c>
      <c r="F48" s="305">
        <v>2.457</v>
      </c>
      <c r="G48" s="305"/>
      <c r="H48" s="306"/>
    </row>
    <row r="49" spans="3:8" ht="12.75">
      <c r="C49" s="298">
        <v>40</v>
      </c>
      <c r="D49" s="304" t="s">
        <v>64</v>
      </c>
      <c r="E49" s="300">
        <f t="shared" si="0"/>
        <v>25</v>
      </c>
      <c r="F49" s="305"/>
      <c r="G49" s="305"/>
      <c r="H49" s="306">
        <v>25</v>
      </c>
    </row>
    <row r="50" spans="3:8" ht="12.75">
      <c r="C50" s="298">
        <v>41</v>
      </c>
      <c r="D50" s="307" t="s">
        <v>328</v>
      </c>
      <c r="E50" s="300">
        <f t="shared" si="0"/>
        <v>1.5</v>
      </c>
      <c r="F50" s="305">
        <v>1.5</v>
      </c>
      <c r="G50" s="305"/>
      <c r="H50" s="306"/>
    </row>
    <row r="51" spans="3:8" ht="12.75">
      <c r="C51" s="298">
        <v>42</v>
      </c>
      <c r="D51" s="304" t="s">
        <v>65</v>
      </c>
      <c r="E51" s="300">
        <f t="shared" si="0"/>
        <v>25.93</v>
      </c>
      <c r="F51" s="305"/>
      <c r="G51" s="305"/>
      <c r="H51" s="306">
        <v>25.93</v>
      </c>
    </row>
    <row r="52" spans="3:8" ht="12.75">
      <c r="C52" s="298">
        <v>43</v>
      </c>
      <c r="D52" s="304" t="s">
        <v>80</v>
      </c>
      <c r="E52" s="300">
        <f t="shared" si="0"/>
        <v>6.5</v>
      </c>
      <c r="F52" s="305"/>
      <c r="G52" s="305"/>
      <c r="H52" s="306">
        <v>6.5</v>
      </c>
    </row>
    <row r="53" spans="3:8" ht="12.75">
      <c r="C53" s="298">
        <v>44</v>
      </c>
      <c r="D53" s="304" t="s">
        <v>66</v>
      </c>
      <c r="E53" s="300">
        <f t="shared" si="0"/>
        <v>30.5</v>
      </c>
      <c r="F53" s="305">
        <v>28</v>
      </c>
      <c r="G53" s="305"/>
      <c r="H53" s="306">
        <v>2.5</v>
      </c>
    </row>
    <row r="54" spans="3:8" ht="12.75">
      <c r="C54" s="298">
        <v>45</v>
      </c>
      <c r="D54" s="304" t="s">
        <v>67</v>
      </c>
      <c r="E54" s="300">
        <f t="shared" si="0"/>
        <v>13.5</v>
      </c>
      <c r="F54" s="305">
        <v>12</v>
      </c>
      <c r="G54" s="305"/>
      <c r="H54" s="306">
        <v>1.5</v>
      </c>
    </row>
    <row r="55" spans="3:8" ht="12.75">
      <c r="C55" s="298">
        <v>46</v>
      </c>
      <c r="D55" s="304" t="s">
        <v>68</v>
      </c>
      <c r="E55" s="300">
        <f t="shared" si="0"/>
        <v>23</v>
      </c>
      <c r="F55" s="305"/>
      <c r="G55" s="305"/>
      <c r="H55" s="306">
        <v>23</v>
      </c>
    </row>
    <row r="56" spans="3:8" ht="12.75">
      <c r="C56" s="298">
        <v>47</v>
      </c>
      <c r="D56" s="304" t="s">
        <v>69</v>
      </c>
      <c r="E56" s="300">
        <f t="shared" si="0"/>
        <v>1</v>
      </c>
      <c r="F56" s="305"/>
      <c r="G56" s="305"/>
      <c r="H56" s="306">
        <v>1</v>
      </c>
    </row>
    <row r="57" spans="3:8" ht="12.75">
      <c r="C57" s="298">
        <v>48</v>
      </c>
      <c r="D57" s="308" t="s">
        <v>363</v>
      </c>
      <c r="E57" s="309">
        <f t="shared" si="0"/>
        <v>18.653</v>
      </c>
      <c r="F57" s="310">
        <v>14.653</v>
      </c>
      <c r="G57" s="310"/>
      <c r="H57" s="311">
        <v>4</v>
      </c>
    </row>
    <row r="58" spans="3:8" ht="13.5" thickBot="1">
      <c r="C58" s="312">
        <v>49</v>
      </c>
      <c r="D58" s="313" t="s">
        <v>329</v>
      </c>
      <c r="E58" s="314">
        <f t="shared" si="0"/>
        <v>10.200000000000001</v>
      </c>
      <c r="F58" s="315">
        <v>3.2</v>
      </c>
      <c r="G58" s="315">
        <v>0.1</v>
      </c>
      <c r="H58" s="316">
        <v>6.9</v>
      </c>
    </row>
    <row r="59" spans="3:8" ht="13.5" thickBot="1">
      <c r="C59" s="317">
        <v>50</v>
      </c>
      <c r="D59" s="318" t="s">
        <v>87</v>
      </c>
      <c r="E59" s="319">
        <f t="shared" si="0"/>
        <v>1411.198</v>
      </c>
      <c r="F59" s="320">
        <f>SUM(F10:F58)</f>
        <v>429.646</v>
      </c>
      <c r="G59" s="320">
        <f>SUM(G10:G58)</f>
        <v>92.16600000000003</v>
      </c>
      <c r="H59" s="321">
        <f>SUM(H10:H58)</f>
        <v>889.3860000000001</v>
      </c>
    </row>
    <row r="60" ht="14.25">
      <c r="C60" s="7"/>
    </row>
    <row r="61" ht="15">
      <c r="C61" s="8"/>
    </row>
  </sheetData>
  <sheetProtection/>
  <mergeCells count="9">
    <mergeCell ref="E1:H1"/>
    <mergeCell ref="E2:H2"/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Z172"/>
  <sheetViews>
    <sheetView zoomScalePageLayoutView="0" workbookViewId="0" topLeftCell="C4">
      <pane xSplit="2" ySplit="7" topLeftCell="E1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D16" sqref="D16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6" width="11.421875" style="0" customWidth="1"/>
    <col min="7" max="7" width="10.00390625" style="0" customWidth="1"/>
    <col min="8" max="8" width="10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11.28125" style="0" customWidth="1"/>
    <col min="14" max="14" width="11.421875" style="0" customWidth="1"/>
    <col min="15" max="15" width="8.28125" style="0" customWidth="1"/>
    <col min="16" max="16" width="10.281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1011"/>
      <c r="I2" s="1012"/>
      <c r="J2" s="1012"/>
      <c r="K2" s="1012"/>
      <c r="L2" s="1012"/>
    </row>
    <row r="3" ht="15.75" hidden="1">
      <c r="H3" s="1"/>
    </row>
    <row r="4" spans="18:22" ht="12.75">
      <c r="R4" s="17" t="s">
        <v>70</v>
      </c>
      <c r="S4" s="17"/>
      <c r="T4" s="17"/>
      <c r="U4" s="17"/>
      <c r="V4" s="17"/>
    </row>
    <row r="5" spans="3:24" ht="12.75">
      <c r="C5" s="18" t="s">
        <v>89</v>
      </c>
      <c r="D5" s="1013" t="s">
        <v>359</v>
      </c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3" t="s">
        <v>364</v>
      </c>
      <c r="S5" s="4"/>
      <c r="T5" s="4"/>
      <c r="U5" s="4"/>
      <c r="V5" s="4"/>
      <c r="W5" s="4"/>
      <c r="X5" s="4"/>
    </row>
    <row r="6" spans="5:22" ht="12.75">
      <c r="E6" s="1015" t="s">
        <v>90</v>
      </c>
      <c r="F6" s="1015"/>
      <c r="G6" s="1015"/>
      <c r="H6" s="1015"/>
      <c r="I6" s="1015"/>
      <c r="J6" s="1015"/>
      <c r="K6" s="1015"/>
      <c r="R6" s="17" t="s">
        <v>91</v>
      </c>
      <c r="S6" s="17"/>
      <c r="T6" s="17"/>
      <c r="U6" s="17"/>
      <c r="V6" s="17"/>
    </row>
    <row r="7" ht="13.5" thickBot="1">
      <c r="U7" t="s">
        <v>92</v>
      </c>
    </row>
    <row r="8" spans="3:24" ht="12.75">
      <c r="C8" s="1021" t="s">
        <v>0</v>
      </c>
      <c r="D8" s="1024" t="s">
        <v>93</v>
      </c>
      <c r="E8" s="1027" t="s">
        <v>94</v>
      </c>
      <c r="F8" s="1030" t="s">
        <v>95</v>
      </c>
      <c r="G8" s="1031"/>
      <c r="H8" s="1031"/>
      <c r="I8" s="1027" t="s">
        <v>96</v>
      </c>
      <c r="J8" s="1030" t="s">
        <v>95</v>
      </c>
      <c r="K8" s="1031"/>
      <c r="L8" s="1034"/>
      <c r="M8" s="1016" t="s">
        <v>286</v>
      </c>
      <c r="N8" s="1030" t="s">
        <v>95</v>
      </c>
      <c r="O8" s="1031"/>
      <c r="P8" s="1031"/>
      <c r="Q8" s="1027" t="s">
        <v>302</v>
      </c>
      <c r="R8" s="1030" t="s">
        <v>95</v>
      </c>
      <c r="S8" s="1031"/>
      <c r="T8" s="1034"/>
      <c r="U8" s="1027" t="s">
        <v>98</v>
      </c>
      <c r="V8" s="1030" t="s">
        <v>95</v>
      </c>
      <c r="W8" s="1031"/>
      <c r="X8" s="1034"/>
    </row>
    <row r="9" spans="3:24" ht="12.75">
      <c r="C9" s="1022"/>
      <c r="D9" s="1025"/>
      <c r="E9" s="1028"/>
      <c r="F9" s="1032" t="s">
        <v>99</v>
      </c>
      <c r="G9" s="1033"/>
      <c r="H9" s="1019" t="s">
        <v>100</v>
      </c>
      <c r="I9" s="1028"/>
      <c r="J9" s="1032" t="s">
        <v>99</v>
      </c>
      <c r="K9" s="1033"/>
      <c r="L9" s="1009" t="s">
        <v>100</v>
      </c>
      <c r="M9" s="1017"/>
      <c r="N9" s="1032" t="s">
        <v>99</v>
      </c>
      <c r="O9" s="1033"/>
      <c r="P9" s="1019" t="s">
        <v>100</v>
      </c>
      <c r="Q9" s="1028"/>
      <c r="R9" s="1032" t="s">
        <v>99</v>
      </c>
      <c r="S9" s="1033"/>
      <c r="T9" s="1009" t="s">
        <v>100</v>
      </c>
      <c r="U9" s="1028"/>
      <c r="V9" s="1032" t="s">
        <v>99</v>
      </c>
      <c r="W9" s="1033"/>
      <c r="X9" s="1009" t="s">
        <v>100</v>
      </c>
    </row>
    <row r="10" spans="3:24" ht="51.75" thickBot="1">
      <c r="C10" s="1023"/>
      <c r="D10" s="1026"/>
      <c r="E10" s="1029"/>
      <c r="F10" s="19" t="s">
        <v>94</v>
      </c>
      <c r="G10" s="19" t="s">
        <v>101</v>
      </c>
      <c r="H10" s="1020"/>
      <c r="I10" s="1029"/>
      <c r="J10" s="19" t="s">
        <v>94</v>
      </c>
      <c r="K10" s="19" t="s">
        <v>101</v>
      </c>
      <c r="L10" s="1010"/>
      <c r="M10" s="1018"/>
      <c r="N10" s="19" t="s">
        <v>94</v>
      </c>
      <c r="O10" s="19" t="s">
        <v>101</v>
      </c>
      <c r="P10" s="1020"/>
      <c r="Q10" s="1029"/>
      <c r="R10" s="19" t="s">
        <v>94</v>
      </c>
      <c r="S10" s="19" t="s">
        <v>101</v>
      </c>
      <c r="T10" s="1010"/>
      <c r="U10" s="1029"/>
      <c r="V10" s="19" t="s">
        <v>94</v>
      </c>
      <c r="W10" s="19" t="s">
        <v>101</v>
      </c>
      <c r="X10" s="1010"/>
    </row>
    <row r="11" spans="3:24" ht="12.75">
      <c r="C11" s="20">
        <v>1</v>
      </c>
      <c r="D11" s="855" t="s">
        <v>102</v>
      </c>
      <c r="E11" s="21">
        <f aca="true" t="shared" si="0" ref="E11:H16">I11+M11+Q11+U11</f>
        <v>148.115</v>
      </c>
      <c r="F11" s="21">
        <f t="shared" si="0"/>
        <v>148.115</v>
      </c>
      <c r="G11" s="21">
        <f t="shared" si="0"/>
        <v>86.85</v>
      </c>
      <c r="H11" s="327"/>
      <c r="I11" s="330">
        <f>I13+I12</f>
        <v>148.115</v>
      </c>
      <c r="J11" s="22">
        <f>J13+J12</f>
        <v>148.115</v>
      </c>
      <c r="K11" s="22">
        <f>K13+K12</f>
        <v>86.85</v>
      </c>
      <c r="L11" s="331"/>
      <c r="M11" s="24"/>
      <c r="N11" s="23"/>
      <c r="O11" s="23"/>
      <c r="P11" s="327"/>
      <c r="Q11" s="24"/>
      <c r="R11" s="23"/>
      <c r="S11" s="23"/>
      <c r="T11" s="25"/>
      <c r="U11" s="24"/>
      <c r="V11" s="23"/>
      <c r="W11" s="23"/>
      <c r="X11" s="25"/>
    </row>
    <row r="12" spans="3:24" ht="12.75">
      <c r="C12" s="237">
        <v>2</v>
      </c>
      <c r="D12" s="856" t="s">
        <v>103</v>
      </c>
      <c r="E12" s="221">
        <f t="shared" si="0"/>
        <v>89.248</v>
      </c>
      <c r="F12" s="221">
        <f t="shared" si="0"/>
        <v>89.248</v>
      </c>
      <c r="G12" s="221">
        <f t="shared" si="0"/>
        <v>80.515</v>
      </c>
      <c r="H12" s="225"/>
      <c r="I12" s="164">
        <f>J12+L12</f>
        <v>89.248</v>
      </c>
      <c r="J12" s="226">
        <f>87.748+1.5</f>
        <v>89.248</v>
      </c>
      <c r="K12" s="226">
        <f>79.037+1.478</f>
        <v>80.515</v>
      </c>
      <c r="L12" s="227"/>
      <c r="M12" s="229"/>
      <c r="N12" s="228"/>
      <c r="O12" s="228"/>
      <c r="P12" s="225"/>
      <c r="Q12" s="229"/>
      <c r="R12" s="228"/>
      <c r="S12" s="228"/>
      <c r="T12" s="227"/>
      <c r="U12" s="229"/>
      <c r="V12" s="228"/>
      <c r="W12" s="228"/>
      <c r="X12" s="227"/>
    </row>
    <row r="13" spans="3:24" ht="12.75">
      <c r="C13" s="237">
        <v>3</v>
      </c>
      <c r="D13" s="31" t="s">
        <v>104</v>
      </c>
      <c r="E13" s="221">
        <f t="shared" si="0"/>
        <v>58.867</v>
      </c>
      <c r="F13" s="221">
        <f t="shared" si="0"/>
        <v>58.867</v>
      </c>
      <c r="G13" s="165">
        <f t="shared" si="0"/>
        <v>6.335</v>
      </c>
      <c r="H13" s="225"/>
      <c r="I13" s="164">
        <f>J13+L13</f>
        <v>58.867</v>
      </c>
      <c r="J13" s="230">
        <v>58.867</v>
      </c>
      <c r="K13" s="226">
        <v>6.335</v>
      </c>
      <c r="L13" s="227"/>
      <c r="M13" s="229"/>
      <c r="N13" s="228"/>
      <c r="O13" s="228"/>
      <c r="P13" s="225"/>
      <c r="Q13" s="229"/>
      <c r="R13" s="228"/>
      <c r="S13" s="228"/>
      <c r="T13" s="227"/>
      <c r="U13" s="229"/>
      <c r="V13" s="228"/>
      <c r="W13" s="228"/>
      <c r="X13" s="227"/>
    </row>
    <row r="14" spans="3:24" ht="12.75">
      <c r="C14" s="237">
        <v>4</v>
      </c>
      <c r="D14" s="857" t="s">
        <v>105</v>
      </c>
      <c r="E14" s="850">
        <f t="shared" si="0"/>
        <v>2428.18</v>
      </c>
      <c r="F14" s="231">
        <f t="shared" si="0"/>
        <v>2398.18</v>
      </c>
      <c r="G14" s="163">
        <f t="shared" si="0"/>
        <v>2097.33</v>
      </c>
      <c r="H14" s="232">
        <f t="shared" si="0"/>
        <v>30</v>
      </c>
      <c r="I14" s="54">
        <f>SUM(I15:I20)</f>
        <v>2012.4959999999999</v>
      </c>
      <c r="J14" s="233">
        <f>SUM(J15:J20)</f>
        <v>1982.4959999999999</v>
      </c>
      <c r="K14" s="233">
        <f>SUM(K15:K20)</f>
        <v>1714.3310000000001</v>
      </c>
      <c r="L14" s="332">
        <f>SUM(L15:L20)</f>
        <v>30</v>
      </c>
      <c r="M14" s="54">
        <f>SUM(M15:M19)</f>
        <v>415.68399999999997</v>
      </c>
      <c r="N14" s="163">
        <f>SUM(N15:N19)</f>
        <v>415.68399999999997</v>
      </c>
      <c r="O14" s="163">
        <f>SUM(O15:O19)</f>
        <v>382.999</v>
      </c>
      <c r="P14" s="232"/>
      <c r="Q14" s="54"/>
      <c r="R14" s="163"/>
      <c r="S14" s="163"/>
      <c r="T14" s="15"/>
      <c r="U14" s="54"/>
      <c r="V14" s="163"/>
      <c r="W14" s="163"/>
      <c r="X14" s="15"/>
    </row>
    <row r="15" spans="3:24" ht="12.75">
      <c r="C15" s="237">
        <v>5</v>
      </c>
      <c r="D15" s="31" t="s">
        <v>71</v>
      </c>
      <c r="E15" s="769">
        <f aca="true" t="shared" si="1" ref="E15:F39">I15+M15+Q15+U15</f>
        <v>2178.98</v>
      </c>
      <c r="F15" s="844">
        <f>J15+N15+R15+V15</f>
        <v>2168.98</v>
      </c>
      <c r="G15" s="770">
        <f t="shared" si="0"/>
        <v>1964.0230000000001</v>
      </c>
      <c r="H15" s="770">
        <f t="shared" si="0"/>
        <v>10</v>
      </c>
      <c r="I15" s="768">
        <f>J15+L15</f>
        <v>1899.4959999999999</v>
      </c>
      <c r="J15" s="799">
        <f>1993.944-78.448-26</f>
        <v>1889.4959999999999</v>
      </c>
      <c r="K15" s="789">
        <f>1795.958-77.327-4.3</f>
        <v>1714.3310000000001</v>
      </c>
      <c r="L15" s="45">
        <v>10</v>
      </c>
      <c r="M15" s="164">
        <f>N15+P15</f>
        <v>279.484</v>
      </c>
      <c r="N15" s="165">
        <v>279.484</v>
      </c>
      <c r="O15" s="165">
        <v>249.692</v>
      </c>
      <c r="P15" s="43"/>
      <c r="Q15" s="29"/>
      <c r="R15" s="32"/>
      <c r="S15" s="32"/>
      <c r="T15" s="45"/>
      <c r="U15" s="29"/>
      <c r="V15" s="32"/>
      <c r="W15" s="32"/>
      <c r="X15" s="45"/>
    </row>
    <row r="16" spans="3:24" ht="12.75">
      <c r="C16" s="239">
        <v>6</v>
      </c>
      <c r="D16" s="858" t="s">
        <v>294</v>
      </c>
      <c r="E16" s="221">
        <f t="shared" si="1"/>
        <v>20</v>
      </c>
      <c r="F16" s="234"/>
      <c r="G16" s="165"/>
      <c r="H16" s="43">
        <f t="shared" si="0"/>
        <v>20</v>
      </c>
      <c r="I16" s="164">
        <f>J16+L16</f>
        <v>20</v>
      </c>
      <c r="J16" s="165"/>
      <c r="K16" s="165"/>
      <c r="L16" s="224">
        <v>20</v>
      </c>
      <c r="M16" s="164"/>
      <c r="N16" s="165"/>
      <c r="O16" s="165"/>
      <c r="P16" s="223"/>
      <c r="Q16" s="164"/>
      <c r="R16" s="165"/>
      <c r="S16" s="165"/>
      <c r="T16" s="224"/>
      <c r="U16" s="164"/>
      <c r="V16" s="165"/>
      <c r="W16" s="165"/>
      <c r="X16" s="224"/>
    </row>
    <row r="17" spans="3:24" s="9" customFormat="1" ht="12.75">
      <c r="C17" s="209">
        <v>7</v>
      </c>
      <c r="D17" s="859" t="s">
        <v>106</v>
      </c>
      <c r="E17" s="851">
        <f t="shared" si="1"/>
        <v>80</v>
      </c>
      <c r="F17" s="210">
        <f>J17+N17+R17+V17</f>
        <v>80</v>
      </c>
      <c r="G17" s="211"/>
      <c r="H17" s="212"/>
      <c r="I17" s="213">
        <f>J17+L17</f>
        <v>80</v>
      </c>
      <c r="J17" s="211">
        <v>80</v>
      </c>
      <c r="K17" s="211"/>
      <c r="L17" s="214"/>
      <c r="M17" s="213"/>
      <c r="N17" s="211"/>
      <c r="O17" s="211"/>
      <c r="P17" s="212"/>
      <c r="Q17" s="213"/>
      <c r="R17" s="211"/>
      <c r="S17" s="211"/>
      <c r="T17" s="214"/>
      <c r="U17" s="213"/>
      <c r="V17" s="211"/>
      <c r="W17" s="211"/>
      <c r="X17" s="214"/>
    </row>
    <row r="18" spans="3:24" ht="12.75">
      <c r="C18" s="34">
        <v>8</v>
      </c>
      <c r="D18" s="859" t="s">
        <v>107</v>
      </c>
      <c r="E18" s="27">
        <f t="shared" si="1"/>
        <v>1</v>
      </c>
      <c r="F18" s="42">
        <f>J18+N18+R18+V18</f>
        <v>1</v>
      </c>
      <c r="G18" s="32"/>
      <c r="H18" s="43"/>
      <c r="I18" s="29">
        <f>J18+L18</f>
        <v>1</v>
      </c>
      <c r="J18" s="32">
        <v>1</v>
      </c>
      <c r="K18" s="32"/>
      <c r="L18" s="45"/>
      <c r="M18" s="29"/>
      <c r="N18" s="32"/>
      <c r="O18" s="32"/>
      <c r="P18" s="43"/>
      <c r="Q18" s="29"/>
      <c r="R18" s="32"/>
      <c r="S18" s="32"/>
      <c r="T18" s="45"/>
      <c r="U18" s="29"/>
      <c r="V18" s="32"/>
      <c r="W18" s="32"/>
      <c r="X18" s="45"/>
    </row>
    <row r="19" spans="3:24" ht="12.75">
      <c r="C19" s="34">
        <v>9</v>
      </c>
      <c r="D19" s="859" t="s">
        <v>108</v>
      </c>
      <c r="E19" s="27">
        <f t="shared" si="1"/>
        <v>136.2</v>
      </c>
      <c r="F19" s="42">
        <f>J19+N19+R19+V19</f>
        <v>136.2</v>
      </c>
      <c r="G19" s="32">
        <f>K19+O19+S19+W19</f>
        <v>133.307</v>
      </c>
      <c r="H19" s="43"/>
      <c r="I19" s="29"/>
      <c r="J19" s="32"/>
      <c r="K19" s="32"/>
      <c r="L19" s="45"/>
      <c r="M19" s="29">
        <f>N19+P19</f>
        <v>136.2</v>
      </c>
      <c r="N19" s="32">
        <v>136.2</v>
      </c>
      <c r="O19" s="44">
        <v>133.307</v>
      </c>
      <c r="P19" s="43"/>
      <c r="Q19" s="29"/>
      <c r="R19" s="32"/>
      <c r="S19" s="32"/>
      <c r="T19" s="45"/>
      <c r="U19" s="29"/>
      <c r="V19" s="32"/>
      <c r="W19" s="32"/>
      <c r="X19" s="45"/>
    </row>
    <row r="20" spans="3:24" ht="12.75">
      <c r="C20" s="34">
        <v>10</v>
      </c>
      <c r="D20" s="859" t="s">
        <v>366</v>
      </c>
      <c r="E20" s="27">
        <f t="shared" si="1"/>
        <v>12</v>
      </c>
      <c r="F20" s="42">
        <f>J20+N20+R20+V20</f>
        <v>12</v>
      </c>
      <c r="G20" s="32"/>
      <c r="H20" s="43"/>
      <c r="I20" s="29">
        <f>J20+L20</f>
        <v>12</v>
      </c>
      <c r="J20" s="32">
        <v>12</v>
      </c>
      <c r="K20" s="32"/>
      <c r="L20" s="45"/>
      <c r="M20" s="29"/>
      <c r="N20" s="32"/>
      <c r="O20" s="44"/>
      <c r="P20" s="43"/>
      <c r="Q20" s="29"/>
      <c r="R20" s="32"/>
      <c r="S20" s="32"/>
      <c r="T20" s="45"/>
      <c r="U20" s="29"/>
      <c r="V20" s="32"/>
      <c r="W20" s="32"/>
      <c r="X20" s="45"/>
    </row>
    <row r="21" spans="3:24" ht="12.75">
      <c r="C21" s="34">
        <v>11</v>
      </c>
      <c r="D21" s="35" t="s">
        <v>109</v>
      </c>
      <c r="E21" s="36">
        <f t="shared" si="1"/>
        <v>81.846</v>
      </c>
      <c r="F21" s="37">
        <f>J21+N21+R21+V21</f>
        <v>81.846</v>
      </c>
      <c r="G21" s="38">
        <f>K21+O21+S21+W21</f>
        <v>79.354</v>
      </c>
      <c r="H21" s="39"/>
      <c r="I21" s="40">
        <f aca="true" t="shared" si="2" ref="I21:I27">J21+L21</f>
        <v>81.846</v>
      </c>
      <c r="J21" s="38">
        <f>82.046-0.2</f>
        <v>81.846</v>
      </c>
      <c r="K21" s="46">
        <f>79.454-0.1</f>
        <v>79.354</v>
      </c>
      <c r="L21" s="41"/>
      <c r="M21" s="29"/>
      <c r="N21" s="32"/>
      <c r="O21" s="32"/>
      <c r="P21" s="43"/>
      <c r="Q21" s="29"/>
      <c r="R21" s="32"/>
      <c r="S21" s="32"/>
      <c r="T21" s="45"/>
      <c r="U21" s="29"/>
      <c r="V21" s="32"/>
      <c r="W21" s="32"/>
      <c r="X21" s="45"/>
    </row>
    <row r="22" spans="3:24" ht="12.75" customHeight="1">
      <c r="C22" s="47">
        <v>12</v>
      </c>
      <c r="D22" s="860" t="s">
        <v>110</v>
      </c>
      <c r="E22" s="36">
        <f t="shared" si="1"/>
        <v>2964.5999999999995</v>
      </c>
      <c r="F22" s="37">
        <f t="shared" si="1"/>
        <v>2934.5999999999995</v>
      </c>
      <c r="G22" s="37"/>
      <c r="H22" s="39">
        <f>SUM(H23:H36)</f>
        <v>30</v>
      </c>
      <c r="I22" s="40">
        <f>J22+L22</f>
        <v>2326.2999999999997</v>
      </c>
      <c r="J22" s="38">
        <f>SUM(J23:J39)</f>
        <v>2296.2999999999997</v>
      </c>
      <c r="K22" s="38"/>
      <c r="L22" s="41">
        <f>SUM(L23:L36)</f>
        <v>30</v>
      </c>
      <c r="M22" s="40">
        <f>N22+P22</f>
        <v>638.3</v>
      </c>
      <c r="N22" s="38">
        <f>SUM(N23:N34)</f>
        <v>638.3</v>
      </c>
      <c r="O22" s="38"/>
      <c r="P22" s="39"/>
      <c r="Q22" s="40"/>
      <c r="R22" s="38"/>
      <c r="S22" s="38"/>
      <c r="T22" s="41"/>
      <c r="U22" s="40"/>
      <c r="V22" s="38"/>
      <c r="W22" s="32"/>
      <c r="X22" s="45"/>
    </row>
    <row r="23" spans="3:24" ht="12.75">
      <c r="C23" s="34">
        <v>13</v>
      </c>
      <c r="D23" s="861" t="s">
        <v>111</v>
      </c>
      <c r="E23" s="27">
        <f t="shared" si="1"/>
        <v>1589.6</v>
      </c>
      <c r="F23" s="42">
        <f t="shared" si="1"/>
        <v>1589.6</v>
      </c>
      <c r="G23" s="32"/>
      <c r="H23" s="43"/>
      <c r="I23" s="29">
        <f t="shared" si="2"/>
        <v>1589.6</v>
      </c>
      <c r="J23" s="32">
        <v>1589.6</v>
      </c>
      <c r="K23" s="32"/>
      <c r="L23" s="45"/>
      <c r="M23" s="29"/>
      <c r="N23" s="32"/>
      <c r="O23" s="32"/>
      <c r="P23" s="43"/>
      <c r="Q23" s="29"/>
      <c r="R23" s="32"/>
      <c r="S23" s="32"/>
      <c r="T23" s="45"/>
      <c r="U23" s="29"/>
      <c r="V23" s="32"/>
      <c r="W23" s="32"/>
      <c r="X23" s="45"/>
    </row>
    <row r="24" spans="3:24" ht="12.75">
      <c r="C24" s="34">
        <v>14</v>
      </c>
      <c r="D24" s="861" t="s">
        <v>112</v>
      </c>
      <c r="E24" s="27">
        <f t="shared" si="1"/>
        <v>30</v>
      </c>
      <c r="F24" s="42">
        <f t="shared" si="1"/>
        <v>30</v>
      </c>
      <c r="G24" s="32"/>
      <c r="H24" s="43"/>
      <c r="I24" s="29">
        <f t="shared" si="2"/>
        <v>30</v>
      </c>
      <c r="J24" s="32">
        <v>30</v>
      </c>
      <c r="K24" s="32"/>
      <c r="L24" s="45"/>
      <c r="M24" s="29"/>
      <c r="N24" s="32"/>
      <c r="O24" s="32"/>
      <c r="P24" s="43"/>
      <c r="Q24" s="29"/>
      <c r="R24" s="32"/>
      <c r="S24" s="32"/>
      <c r="T24" s="45"/>
      <c r="U24" s="29"/>
      <c r="V24" s="32"/>
      <c r="W24" s="32"/>
      <c r="X24" s="45"/>
    </row>
    <row r="25" spans="3:24" ht="12.75">
      <c r="C25" s="34">
        <v>15</v>
      </c>
      <c r="D25" s="861" t="s">
        <v>113</v>
      </c>
      <c r="E25" s="27">
        <f t="shared" si="1"/>
        <v>55</v>
      </c>
      <c r="F25" s="42">
        <f t="shared" si="1"/>
        <v>55</v>
      </c>
      <c r="G25" s="32"/>
      <c r="H25" s="43"/>
      <c r="I25" s="29">
        <f t="shared" si="2"/>
        <v>55</v>
      </c>
      <c r="J25" s="32">
        <v>55</v>
      </c>
      <c r="K25" s="32"/>
      <c r="L25" s="45"/>
      <c r="M25" s="29"/>
      <c r="N25" s="32"/>
      <c r="O25" s="32"/>
      <c r="P25" s="43"/>
      <c r="Q25" s="29"/>
      <c r="R25" s="32"/>
      <c r="S25" s="32"/>
      <c r="T25" s="45"/>
      <c r="U25" s="29"/>
      <c r="V25" s="32"/>
      <c r="W25" s="32"/>
      <c r="X25" s="45"/>
    </row>
    <row r="26" spans="3:24" ht="12.75">
      <c r="C26" s="34">
        <v>16</v>
      </c>
      <c r="D26" s="861" t="s">
        <v>114</v>
      </c>
      <c r="E26" s="27">
        <f t="shared" si="1"/>
        <v>5</v>
      </c>
      <c r="F26" s="42">
        <f t="shared" si="1"/>
        <v>5</v>
      </c>
      <c r="G26" s="32"/>
      <c r="H26" s="43"/>
      <c r="I26" s="29">
        <f t="shared" si="2"/>
        <v>5</v>
      </c>
      <c r="J26" s="32">
        <v>5</v>
      </c>
      <c r="K26" s="32"/>
      <c r="L26" s="45"/>
      <c r="M26" s="29"/>
      <c r="N26" s="32"/>
      <c r="O26" s="32"/>
      <c r="P26" s="43"/>
      <c r="Q26" s="29"/>
      <c r="R26" s="32"/>
      <c r="S26" s="32"/>
      <c r="T26" s="45"/>
      <c r="U26" s="29"/>
      <c r="V26" s="32"/>
      <c r="W26" s="32"/>
      <c r="X26" s="45"/>
    </row>
    <row r="27" spans="3:24" ht="12.75">
      <c r="C27" s="47">
        <v>17</v>
      </c>
      <c r="D27" s="861" t="s">
        <v>115</v>
      </c>
      <c r="E27" s="27">
        <f t="shared" si="1"/>
        <v>300</v>
      </c>
      <c r="F27" s="42">
        <f t="shared" si="1"/>
        <v>300</v>
      </c>
      <c r="G27" s="32"/>
      <c r="H27" s="43"/>
      <c r="I27" s="29">
        <f t="shared" si="2"/>
        <v>300</v>
      </c>
      <c r="J27" s="32">
        <v>300</v>
      </c>
      <c r="K27" s="32"/>
      <c r="L27" s="45"/>
      <c r="M27" s="29"/>
      <c r="N27" s="32"/>
      <c r="O27" s="32"/>
      <c r="P27" s="43"/>
      <c r="Q27" s="29"/>
      <c r="R27" s="32"/>
      <c r="S27" s="32"/>
      <c r="T27" s="45"/>
      <c r="U27" s="29"/>
      <c r="V27" s="32"/>
      <c r="W27" s="32"/>
      <c r="X27" s="45"/>
    </row>
    <row r="28" spans="3:24" ht="12.75">
      <c r="C28" s="47">
        <v>18</v>
      </c>
      <c r="D28" s="861" t="s">
        <v>33</v>
      </c>
      <c r="E28" s="27">
        <f t="shared" si="1"/>
        <v>376</v>
      </c>
      <c r="F28" s="42">
        <f t="shared" si="1"/>
        <v>376</v>
      </c>
      <c r="G28" s="32"/>
      <c r="H28" s="43"/>
      <c r="I28" s="29"/>
      <c r="J28" s="32"/>
      <c r="K28" s="32"/>
      <c r="L28" s="45"/>
      <c r="M28" s="29">
        <f>N28+P28</f>
        <v>376</v>
      </c>
      <c r="N28" s="32">
        <v>376</v>
      </c>
      <c r="O28" s="32"/>
      <c r="P28" s="43"/>
      <c r="Q28" s="29"/>
      <c r="R28" s="32"/>
      <c r="S28" s="32"/>
      <c r="T28" s="45"/>
      <c r="U28" s="29"/>
      <c r="V28" s="32"/>
      <c r="W28" s="32"/>
      <c r="X28" s="45"/>
    </row>
    <row r="29" spans="3:24" ht="12.75">
      <c r="C29" s="47">
        <v>19</v>
      </c>
      <c r="D29" s="861" t="s">
        <v>116</v>
      </c>
      <c r="E29" s="27">
        <f t="shared" si="1"/>
        <v>5</v>
      </c>
      <c r="F29" s="42">
        <f t="shared" si="1"/>
        <v>5</v>
      </c>
      <c r="G29" s="32"/>
      <c r="H29" s="43"/>
      <c r="I29" s="29"/>
      <c r="J29" s="32"/>
      <c r="K29" s="32"/>
      <c r="L29" s="45"/>
      <c r="M29" s="29">
        <f>N29+P29</f>
        <v>5</v>
      </c>
      <c r="N29" s="32">
        <v>5</v>
      </c>
      <c r="O29" s="32"/>
      <c r="P29" s="43"/>
      <c r="Q29" s="29"/>
      <c r="R29" s="32"/>
      <c r="S29" s="32"/>
      <c r="T29" s="45"/>
      <c r="U29" s="29"/>
      <c r="V29" s="32"/>
      <c r="W29" s="32"/>
      <c r="X29" s="45"/>
    </row>
    <row r="30" spans="3:24" ht="25.5">
      <c r="C30" s="47">
        <v>20</v>
      </c>
      <c r="D30" s="862" t="s">
        <v>547</v>
      </c>
      <c r="E30" s="27">
        <f t="shared" si="1"/>
        <v>2</v>
      </c>
      <c r="F30" s="42">
        <f t="shared" si="1"/>
        <v>2</v>
      </c>
      <c r="G30" s="32"/>
      <c r="H30" s="43"/>
      <c r="I30" s="29">
        <f>J30+L30</f>
        <v>2</v>
      </c>
      <c r="J30" s="32">
        <v>2</v>
      </c>
      <c r="K30" s="32"/>
      <c r="L30" s="45"/>
      <c r="M30" s="29"/>
      <c r="N30" s="32"/>
      <c r="O30" s="32"/>
      <c r="P30" s="43"/>
      <c r="Q30" s="29"/>
      <c r="R30" s="32"/>
      <c r="S30" s="32"/>
      <c r="T30" s="45"/>
      <c r="U30" s="29"/>
      <c r="V30" s="32"/>
      <c r="W30" s="32"/>
      <c r="X30" s="45"/>
    </row>
    <row r="31" spans="3:24" ht="12.75">
      <c r="C31" s="47">
        <v>21</v>
      </c>
      <c r="D31" s="861" t="s">
        <v>117</v>
      </c>
      <c r="E31" s="27">
        <f t="shared" si="1"/>
        <v>257.3</v>
      </c>
      <c r="F31" s="42">
        <f t="shared" si="1"/>
        <v>257.3</v>
      </c>
      <c r="G31" s="32"/>
      <c r="H31" s="43"/>
      <c r="I31" s="29"/>
      <c r="J31" s="32"/>
      <c r="K31" s="32"/>
      <c r="L31" s="45"/>
      <c r="M31" s="29">
        <f>N31+P31</f>
        <v>257.3</v>
      </c>
      <c r="N31" s="32">
        <v>257.3</v>
      </c>
      <c r="O31" s="32"/>
      <c r="P31" s="43"/>
      <c r="Q31" s="29"/>
      <c r="R31" s="32"/>
      <c r="S31" s="32"/>
      <c r="T31" s="45"/>
      <c r="U31" s="29"/>
      <c r="V31" s="32"/>
      <c r="W31" s="32"/>
      <c r="X31" s="45"/>
    </row>
    <row r="32" spans="3:24" ht="12.75">
      <c r="C32" s="47">
        <v>22</v>
      </c>
      <c r="D32" s="861" t="s">
        <v>118</v>
      </c>
      <c r="E32" s="27">
        <f t="shared" si="1"/>
        <v>247.2</v>
      </c>
      <c r="F32" s="42">
        <f t="shared" si="1"/>
        <v>247.2</v>
      </c>
      <c r="G32" s="32"/>
      <c r="H32" s="43"/>
      <c r="I32" s="29">
        <f>J32+L32</f>
        <v>247.2</v>
      </c>
      <c r="J32" s="32">
        <f>270-37.8+15</f>
        <v>247.2</v>
      </c>
      <c r="K32" s="32"/>
      <c r="L32" s="45"/>
      <c r="M32" s="29"/>
      <c r="N32" s="32"/>
      <c r="O32" s="32"/>
      <c r="P32" s="43"/>
      <c r="Q32" s="29"/>
      <c r="R32" s="32"/>
      <c r="S32" s="32"/>
      <c r="T32" s="45"/>
      <c r="U32" s="29"/>
      <c r="V32" s="32"/>
      <c r="W32" s="32"/>
      <c r="X32" s="45"/>
    </row>
    <row r="33" spans="3:24" ht="25.5">
      <c r="C33" s="47">
        <v>23</v>
      </c>
      <c r="D33" s="863" t="s">
        <v>119</v>
      </c>
      <c r="E33" s="27">
        <f t="shared" si="1"/>
        <v>17</v>
      </c>
      <c r="F33" s="42">
        <f t="shared" si="1"/>
        <v>17</v>
      </c>
      <c r="G33" s="32"/>
      <c r="H33" s="43"/>
      <c r="I33" s="29">
        <f>J33+L33</f>
        <v>17</v>
      </c>
      <c r="J33" s="32">
        <v>17</v>
      </c>
      <c r="K33" s="32"/>
      <c r="L33" s="45"/>
      <c r="M33" s="29"/>
      <c r="N33" s="32"/>
      <c r="O33" s="32"/>
      <c r="P33" s="43"/>
      <c r="Q33" s="29"/>
      <c r="R33" s="32"/>
      <c r="S33" s="32"/>
      <c r="T33" s="45"/>
      <c r="U33" s="29"/>
      <c r="V33" s="32"/>
      <c r="W33" s="32"/>
      <c r="X33" s="45"/>
    </row>
    <row r="34" spans="3:24" ht="38.25">
      <c r="C34" s="238">
        <v>24</v>
      </c>
      <c r="D34" s="864" t="s">
        <v>354</v>
      </c>
      <c r="E34" s="221">
        <f t="shared" si="1"/>
        <v>30</v>
      </c>
      <c r="F34" s="222"/>
      <c r="G34" s="165"/>
      <c r="H34" s="223">
        <f>L34++P34+T34+X34</f>
        <v>30</v>
      </c>
      <c r="I34" s="164">
        <f aca="true" t="shared" si="3" ref="I34:I46">J34+L34</f>
        <v>30</v>
      </c>
      <c r="J34" s="165"/>
      <c r="K34" s="165"/>
      <c r="L34" s="224">
        <v>30</v>
      </c>
      <c r="M34" s="164"/>
      <c r="N34" s="32"/>
      <c r="O34" s="32"/>
      <c r="P34" s="43"/>
      <c r="Q34" s="29"/>
      <c r="R34" s="32"/>
      <c r="S34" s="32"/>
      <c r="T34" s="45"/>
      <c r="U34" s="29"/>
      <c r="V34" s="32"/>
      <c r="W34" s="32"/>
      <c r="X34" s="45"/>
    </row>
    <row r="35" spans="3:24" ht="12.75">
      <c r="C35" s="47">
        <v>25</v>
      </c>
      <c r="D35" s="865" t="s">
        <v>120</v>
      </c>
      <c r="E35" s="27">
        <f t="shared" si="1"/>
        <v>6.1</v>
      </c>
      <c r="F35" s="42">
        <f t="shared" si="1"/>
        <v>6.1</v>
      </c>
      <c r="G35" s="32"/>
      <c r="H35" s="223"/>
      <c r="I35" s="29">
        <f t="shared" si="3"/>
        <v>6.1</v>
      </c>
      <c r="J35" s="32">
        <v>6.1</v>
      </c>
      <c r="K35" s="32"/>
      <c r="L35" s="45"/>
      <c r="M35" s="29"/>
      <c r="N35" s="32"/>
      <c r="O35" s="32"/>
      <c r="P35" s="43"/>
      <c r="Q35" s="29"/>
      <c r="R35" s="32"/>
      <c r="S35" s="32"/>
      <c r="T35" s="45"/>
      <c r="U35" s="29"/>
      <c r="V35" s="32"/>
      <c r="W35" s="32"/>
      <c r="X35" s="45"/>
    </row>
    <row r="36" spans="3:24" ht="25.5">
      <c r="C36" s="47">
        <v>26</v>
      </c>
      <c r="D36" s="866" t="s">
        <v>288</v>
      </c>
      <c r="E36" s="27">
        <f t="shared" si="1"/>
        <v>20</v>
      </c>
      <c r="F36" s="48">
        <f t="shared" si="1"/>
        <v>20</v>
      </c>
      <c r="G36" s="48"/>
      <c r="H36" s="223"/>
      <c r="I36" s="29">
        <f t="shared" si="3"/>
        <v>20</v>
      </c>
      <c r="J36" s="32">
        <v>20</v>
      </c>
      <c r="K36" s="32"/>
      <c r="L36" s="45"/>
      <c r="M36" s="29"/>
      <c r="N36" s="32"/>
      <c r="O36" s="32"/>
      <c r="P36" s="43"/>
      <c r="Q36" s="29"/>
      <c r="R36" s="32"/>
      <c r="S36" s="32"/>
      <c r="T36" s="45"/>
      <c r="U36" s="29"/>
      <c r="V36" s="32"/>
      <c r="W36" s="32"/>
      <c r="X36" s="45"/>
    </row>
    <row r="37" spans="3:24" ht="12.75">
      <c r="C37" s="47">
        <v>27</v>
      </c>
      <c r="D37" s="866" t="s">
        <v>307</v>
      </c>
      <c r="E37" s="27">
        <f t="shared" si="1"/>
        <v>18</v>
      </c>
      <c r="F37" s="48">
        <f t="shared" si="1"/>
        <v>18</v>
      </c>
      <c r="G37" s="48"/>
      <c r="H37" s="223"/>
      <c r="I37" s="29">
        <f t="shared" si="3"/>
        <v>18</v>
      </c>
      <c r="J37" s="32">
        <v>18</v>
      </c>
      <c r="K37" s="32"/>
      <c r="L37" s="45"/>
      <c r="M37" s="29"/>
      <c r="N37" s="32"/>
      <c r="O37" s="32"/>
      <c r="P37" s="43"/>
      <c r="Q37" s="29"/>
      <c r="R37" s="32"/>
      <c r="S37" s="32"/>
      <c r="T37" s="45"/>
      <c r="U37" s="29"/>
      <c r="V37" s="32"/>
      <c r="W37" s="32"/>
      <c r="X37" s="45"/>
    </row>
    <row r="38" spans="3:24" s="216" customFormat="1" ht="24.75" customHeight="1">
      <c r="C38" s="47">
        <v>28</v>
      </c>
      <c r="D38" s="863" t="s">
        <v>308</v>
      </c>
      <c r="E38" s="852">
        <f t="shared" si="1"/>
        <v>6.1</v>
      </c>
      <c r="F38" s="217">
        <f t="shared" si="1"/>
        <v>6.1</v>
      </c>
      <c r="G38" s="217"/>
      <c r="H38" s="223"/>
      <c r="I38" s="219">
        <f t="shared" si="3"/>
        <v>6.1</v>
      </c>
      <c r="J38" s="217">
        <v>6.1</v>
      </c>
      <c r="K38" s="217"/>
      <c r="L38" s="220"/>
      <c r="M38" s="219"/>
      <c r="N38" s="217"/>
      <c r="O38" s="217"/>
      <c r="P38" s="218"/>
      <c r="Q38" s="219"/>
      <c r="R38" s="217"/>
      <c r="S38" s="217"/>
      <c r="T38" s="220"/>
      <c r="U38" s="219"/>
      <c r="V38" s="217"/>
      <c r="W38" s="217"/>
      <c r="X38" s="220"/>
    </row>
    <row r="39" spans="3:24" s="216" customFormat="1" ht="12.75" customHeight="1">
      <c r="C39" s="47">
        <v>29</v>
      </c>
      <c r="D39" s="862" t="s">
        <v>122</v>
      </c>
      <c r="E39" s="852">
        <f t="shared" si="1"/>
        <v>0.3</v>
      </c>
      <c r="F39" s="217">
        <f t="shared" si="1"/>
        <v>0.3</v>
      </c>
      <c r="G39" s="217"/>
      <c r="H39" s="223"/>
      <c r="I39" s="219">
        <f t="shared" si="3"/>
        <v>0.3</v>
      </c>
      <c r="J39" s="217">
        <v>0.3</v>
      </c>
      <c r="K39" s="217"/>
      <c r="L39" s="220"/>
      <c r="M39" s="219"/>
      <c r="N39" s="217"/>
      <c r="O39" s="217"/>
      <c r="P39" s="218"/>
      <c r="Q39" s="219"/>
      <c r="R39" s="217"/>
      <c r="S39" s="217"/>
      <c r="T39" s="220"/>
      <c r="U39" s="219"/>
      <c r="V39" s="217"/>
      <c r="W39" s="217"/>
      <c r="X39" s="220"/>
    </row>
    <row r="40" spans="3:24" ht="12.75">
      <c r="C40" s="47">
        <v>30</v>
      </c>
      <c r="D40" s="50" t="s">
        <v>349</v>
      </c>
      <c r="E40" s="233">
        <f aca="true" t="shared" si="4" ref="E40:G80">I40+M40+Q40+U40</f>
        <v>266.7</v>
      </c>
      <c r="F40" s="235">
        <f t="shared" si="4"/>
        <v>266.7</v>
      </c>
      <c r="G40" s="163"/>
      <c r="H40" s="223"/>
      <c r="I40" s="54">
        <f t="shared" si="3"/>
        <v>237.7</v>
      </c>
      <c r="J40" s="163">
        <f>SUM(J41:J47)</f>
        <v>237.7</v>
      </c>
      <c r="K40" s="165"/>
      <c r="L40" s="224"/>
      <c r="M40" s="54"/>
      <c r="N40" s="163"/>
      <c r="O40" s="165"/>
      <c r="P40" s="223"/>
      <c r="Q40" s="164"/>
      <c r="R40" s="165"/>
      <c r="S40" s="165"/>
      <c r="T40" s="224"/>
      <c r="U40" s="54">
        <f>SUM(U41:U47)</f>
        <v>29</v>
      </c>
      <c r="V40" s="163">
        <f>SUM(V41:V47)</f>
        <v>29</v>
      </c>
      <c r="W40" s="165"/>
      <c r="X40" s="224"/>
    </row>
    <row r="41" spans="3:24" ht="12.75">
      <c r="C41" s="47">
        <v>31</v>
      </c>
      <c r="D41" s="861" t="s">
        <v>127</v>
      </c>
      <c r="E41" s="221">
        <f t="shared" si="4"/>
        <v>10</v>
      </c>
      <c r="F41" s="222">
        <f t="shared" si="4"/>
        <v>10</v>
      </c>
      <c r="G41" s="165"/>
      <c r="H41" s="223"/>
      <c r="I41" s="164">
        <f t="shared" si="3"/>
        <v>10</v>
      </c>
      <c r="J41" s="165">
        <v>10</v>
      </c>
      <c r="K41" s="165"/>
      <c r="L41" s="224"/>
      <c r="M41" s="164"/>
      <c r="N41" s="165"/>
      <c r="O41" s="165"/>
      <c r="P41" s="223"/>
      <c r="Q41" s="164"/>
      <c r="R41" s="165"/>
      <c r="S41" s="165"/>
      <c r="T41" s="224"/>
      <c r="U41" s="164"/>
      <c r="V41" s="165"/>
      <c r="W41" s="165"/>
      <c r="X41" s="224"/>
    </row>
    <row r="42" spans="3:24" ht="12.75" customHeight="1">
      <c r="C42" s="47">
        <v>32</v>
      </c>
      <c r="D42" s="861" t="s">
        <v>128</v>
      </c>
      <c r="E42" s="221">
        <f t="shared" si="4"/>
        <v>55</v>
      </c>
      <c r="F42" s="222">
        <f t="shared" si="4"/>
        <v>55</v>
      </c>
      <c r="G42" s="165"/>
      <c r="H42" s="223"/>
      <c r="I42" s="164">
        <f t="shared" si="3"/>
        <v>55</v>
      </c>
      <c r="J42" s="165">
        <v>55</v>
      </c>
      <c r="K42" s="165"/>
      <c r="L42" s="224"/>
      <c r="M42" s="164"/>
      <c r="N42" s="165"/>
      <c r="O42" s="165"/>
      <c r="P42" s="223"/>
      <c r="Q42" s="164"/>
      <c r="R42" s="165"/>
      <c r="S42" s="165"/>
      <c r="T42" s="224"/>
      <c r="U42" s="164"/>
      <c r="V42" s="165"/>
      <c r="W42" s="165"/>
      <c r="X42" s="224"/>
    </row>
    <row r="43" spans="3:24" ht="12.75">
      <c r="C43" s="47">
        <v>33</v>
      </c>
      <c r="D43" s="864" t="s">
        <v>129</v>
      </c>
      <c r="E43" s="221">
        <f t="shared" si="4"/>
        <v>82.6</v>
      </c>
      <c r="F43" s="222">
        <f t="shared" si="4"/>
        <v>82.6</v>
      </c>
      <c r="G43" s="165"/>
      <c r="H43" s="223"/>
      <c r="I43" s="164">
        <f t="shared" si="3"/>
        <v>82.6</v>
      </c>
      <c r="J43" s="165">
        <f>100-17.4</f>
        <v>82.6</v>
      </c>
      <c r="K43" s="165"/>
      <c r="L43" s="224"/>
      <c r="M43" s="164"/>
      <c r="N43" s="165"/>
      <c r="O43" s="165"/>
      <c r="P43" s="223"/>
      <c r="Q43" s="164"/>
      <c r="R43" s="165"/>
      <c r="S43" s="165"/>
      <c r="T43" s="224"/>
      <c r="U43" s="164"/>
      <c r="V43" s="165"/>
      <c r="W43" s="165"/>
      <c r="X43" s="224"/>
    </row>
    <row r="44" spans="3:24" ht="12.75">
      <c r="C44" s="47">
        <v>34</v>
      </c>
      <c r="D44" s="861" t="s">
        <v>130</v>
      </c>
      <c r="E44" s="221">
        <f t="shared" si="4"/>
        <v>0.1</v>
      </c>
      <c r="F44" s="222">
        <f t="shared" si="4"/>
        <v>0.1</v>
      </c>
      <c r="G44" s="165"/>
      <c r="H44" s="223"/>
      <c r="I44" s="164">
        <f t="shared" si="3"/>
        <v>0.1</v>
      </c>
      <c r="J44" s="165">
        <v>0.1</v>
      </c>
      <c r="K44" s="165"/>
      <c r="L44" s="224"/>
      <c r="M44" s="164"/>
      <c r="N44" s="165"/>
      <c r="O44" s="165"/>
      <c r="P44" s="223"/>
      <c r="Q44" s="164"/>
      <c r="R44" s="165"/>
      <c r="S44" s="165"/>
      <c r="T44" s="224"/>
      <c r="U44" s="164"/>
      <c r="V44" s="165"/>
      <c r="W44" s="165"/>
      <c r="X44" s="224"/>
    </row>
    <row r="45" spans="3:24" ht="25.5">
      <c r="C45" s="47">
        <v>35</v>
      </c>
      <c r="D45" s="861" t="s">
        <v>367</v>
      </c>
      <c r="E45" s="221">
        <f t="shared" si="4"/>
        <v>80</v>
      </c>
      <c r="F45" s="222">
        <f t="shared" si="4"/>
        <v>80</v>
      </c>
      <c r="G45" s="165"/>
      <c r="H45" s="223"/>
      <c r="I45" s="164">
        <f t="shared" si="3"/>
        <v>80</v>
      </c>
      <c r="J45" s="165">
        <v>80</v>
      </c>
      <c r="K45" s="165"/>
      <c r="L45" s="224"/>
      <c r="M45" s="164"/>
      <c r="N45" s="165"/>
      <c r="O45" s="165"/>
      <c r="P45" s="223"/>
      <c r="Q45" s="164"/>
      <c r="R45" s="165"/>
      <c r="S45" s="165"/>
      <c r="T45" s="224"/>
      <c r="U45" s="164"/>
      <c r="V45" s="165"/>
      <c r="W45" s="165"/>
      <c r="X45" s="224"/>
    </row>
    <row r="46" spans="3:24" ht="12.75">
      <c r="C46" s="47">
        <v>36</v>
      </c>
      <c r="D46" s="861" t="s">
        <v>309</v>
      </c>
      <c r="E46" s="221">
        <f t="shared" si="4"/>
        <v>10</v>
      </c>
      <c r="F46" s="222">
        <f t="shared" si="4"/>
        <v>10</v>
      </c>
      <c r="G46" s="165"/>
      <c r="H46" s="223"/>
      <c r="I46" s="164">
        <f t="shared" si="3"/>
        <v>10</v>
      </c>
      <c r="J46" s="165">
        <v>10</v>
      </c>
      <c r="K46" s="165"/>
      <c r="L46" s="224"/>
      <c r="M46" s="164"/>
      <c r="N46" s="165"/>
      <c r="O46" s="165"/>
      <c r="P46" s="223"/>
      <c r="Q46" s="164"/>
      <c r="R46" s="165"/>
      <c r="S46" s="165"/>
      <c r="T46" s="224"/>
      <c r="U46" s="164"/>
      <c r="V46" s="165"/>
      <c r="W46" s="165"/>
      <c r="X46" s="224"/>
    </row>
    <row r="47" spans="3:24" ht="12.75">
      <c r="C47" s="47">
        <v>37</v>
      </c>
      <c r="D47" s="861" t="s">
        <v>131</v>
      </c>
      <c r="E47" s="221">
        <f t="shared" si="4"/>
        <v>29</v>
      </c>
      <c r="F47" s="222">
        <f t="shared" si="4"/>
        <v>29</v>
      </c>
      <c r="G47" s="165"/>
      <c r="H47" s="223"/>
      <c r="I47" s="164"/>
      <c r="J47" s="165"/>
      <c r="K47" s="165"/>
      <c r="L47" s="224"/>
      <c r="M47" s="164"/>
      <c r="N47" s="165"/>
      <c r="O47" s="165"/>
      <c r="P47" s="223"/>
      <c r="Q47" s="164"/>
      <c r="R47" s="165"/>
      <c r="S47" s="165"/>
      <c r="T47" s="224"/>
      <c r="U47" s="164">
        <f>V47</f>
        <v>29</v>
      </c>
      <c r="V47" s="165">
        <v>29</v>
      </c>
      <c r="W47" s="165"/>
      <c r="X47" s="224"/>
    </row>
    <row r="48" spans="3:24" ht="12.75">
      <c r="C48" s="47">
        <v>38</v>
      </c>
      <c r="D48" s="867" t="s">
        <v>351</v>
      </c>
      <c r="E48" s="957">
        <f t="shared" si="4"/>
        <v>2880.3646</v>
      </c>
      <c r="F48" s="958">
        <f t="shared" si="4"/>
        <v>1501.182</v>
      </c>
      <c r="G48" s="958">
        <f t="shared" si="4"/>
        <v>4.929</v>
      </c>
      <c r="H48" s="959">
        <f>L48++P48+T48+X48</f>
        <v>1379.1826</v>
      </c>
      <c r="I48" s="236">
        <f>J48+L48</f>
        <v>797.182</v>
      </c>
      <c r="J48" s="163">
        <f>SUM(J49:J58)</f>
        <v>665.182</v>
      </c>
      <c r="K48" s="163">
        <f>SUM(K49:K58)</f>
        <v>4.929</v>
      </c>
      <c r="L48" s="542">
        <f>SUM(L49:L58)</f>
        <v>132</v>
      </c>
      <c r="M48" s="956">
        <f>SUM(M49:M58)</f>
        <v>2083.1826</v>
      </c>
      <c r="N48" s="163">
        <f>SUM(N49:N58)</f>
        <v>836</v>
      </c>
      <c r="O48" s="542"/>
      <c r="P48" s="955">
        <f>SUM(P49:P58)</f>
        <v>1247.1826</v>
      </c>
      <c r="Q48" s="164"/>
      <c r="R48" s="165"/>
      <c r="S48" s="165"/>
      <c r="T48" s="224"/>
      <c r="U48" s="164"/>
      <c r="V48" s="165"/>
      <c r="W48" s="165"/>
      <c r="X48" s="224"/>
    </row>
    <row r="49" spans="3:24" ht="12.75">
      <c r="C49" s="238">
        <v>39</v>
      </c>
      <c r="D49" s="864" t="s">
        <v>132</v>
      </c>
      <c r="E49" s="221">
        <f t="shared" si="4"/>
        <v>295</v>
      </c>
      <c r="F49" s="221">
        <f t="shared" si="4"/>
        <v>275</v>
      </c>
      <c r="G49" s="221"/>
      <c r="H49" s="221">
        <f>L49+P49+T49+X49</f>
        <v>20</v>
      </c>
      <c r="I49" s="213">
        <f>J49+L49</f>
        <v>295</v>
      </c>
      <c r="J49" s="211">
        <v>275</v>
      </c>
      <c r="K49" s="211"/>
      <c r="L49" s="224">
        <v>20</v>
      </c>
      <c r="M49" s="164"/>
      <c r="N49" s="165"/>
      <c r="O49" s="165"/>
      <c r="P49" s="223"/>
      <c r="Q49" s="164"/>
      <c r="R49" s="165"/>
      <c r="S49" s="165"/>
      <c r="T49" s="224"/>
      <c r="U49" s="164"/>
      <c r="V49" s="165"/>
      <c r="W49" s="165"/>
      <c r="X49" s="224"/>
    </row>
    <row r="50" spans="3:24" ht="25.5">
      <c r="C50" s="238">
        <v>40</v>
      </c>
      <c r="D50" s="868" t="s">
        <v>657</v>
      </c>
      <c r="E50" s="769">
        <f t="shared" si="4"/>
        <v>19.1826</v>
      </c>
      <c r="F50" s="769"/>
      <c r="G50" s="770"/>
      <c r="H50" s="771">
        <f>L50++P50+T50+X50</f>
        <v>19.1826</v>
      </c>
      <c r="I50" s="772"/>
      <c r="J50" s="770"/>
      <c r="K50" s="770"/>
      <c r="L50" s="773"/>
      <c r="M50" s="772">
        <v>19.1826</v>
      </c>
      <c r="N50" s="770"/>
      <c r="O50" s="770"/>
      <c r="P50" s="903">
        <v>19.1826</v>
      </c>
      <c r="Q50" s="768"/>
      <c r="R50" s="770"/>
      <c r="S50" s="770"/>
      <c r="T50" s="774"/>
      <c r="U50" s="768"/>
      <c r="V50" s="770"/>
      <c r="W50" s="770"/>
      <c r="X50" s="774"/>
    </row>
    <row r="51" spans="3:24" ht="12.75">
      <c r="C51" s="238">
        <v>41</v>
      </c>
      <c r="D51" s="868" t="s">
        <v>662</v>
      </c>
      <c r="E51" s="769">
        <f t="shared" si="4"/>
        <v>93</v>
      </c>
      <c r="F51" s="769"/>
      <c r="G51" s="770"/>
      <c r="H51" s="771">
        <f>L51++P51+T51+X51</f>
        <v>93</v>
      </c>
      <c r="I51" s="768"/>
      <c r="J51" s="770"/>
      <c r="K51" s="770"/>
      <c r="L51" s="774"/>
      <c r="M51" s="768">
        <v>93</v>
      </c>
      <c r="N51" s="770"/>
      <c r="O51" s="770"/>
      <c r="P51" s="771">
        <v>93</v>
      </c>
      <c r="Q51" s="768"/>
      <c r="R51" s="770"/>
      <c r="S51" s="770"/>
      <c r="T51" s="774"/>
      <c r="U51" s="768"/>
      <c r="V51" s="770"/>
      <c r="W51" s="770"/>
      <c r="X51" s="774"/>
    </row>
    <row r="52" spans="3:24" ht="12.75">
      <c r="C52" s="238">
        <v>42</v>
      </c>
      <c r="D52" s="868" t="s">
        <v>675</v>
      </c>
      <c r="E52" s="769">
        <f t="shared" si="4"/>
        <v>1955</v>
      </c>
      <c r="F52" s="769">
        <f t="shared" si="4"/>
        <v>820</v>
      </c>
      <c r="G52" s="769"/>
      <c r="H52" s="769">
        <f>L52+P52+T52+X52</f>
        <v>1135</v>
      </c>
      <c r="I52" s="768"/>
      <c r="J52" s="770"/>
      <c r="K52" s="770"/>
      <c r="L52" s="774"/>
      <c r="M52" s="782">
        <f>N52+P52</f>
        <v>1955</v>
      </c>
      <c r="N52" s="788">
        <v>820</v>
      </c>
      <c r="O52" s="789"/>
      <c r="P52" s="785">
        <v>1135</v>
      </c>
      <c r="Q52" s="768"/>
      <c r="R52" s="770"/>
      <c r="S52" s="770"/>
      <c r="T52" s="774"/>
      <c r="U52" s="768"/>
      <c r="V52" s="770"/>
      <c r="W52" s="770"/>
      <c r="X52" s="774"/>
    </row>
    <row r="53" spans="3:24" ht="12.75">
      <c r="C53" s="47">
        <v>43</v>
      </c>
      <c r="D53" s="862" t="s">
        <v>133</v>
      </c>
      <c r="E53" s="221">
        <f t="shared" si="4"/>
        <v>156.8</v>
      </c>
      <c r="F53" s="222">
        <f t="shared" si="4"/>
        <v>156.8</v>
      </c>
      <c r="G53" s="165"/>
      <c r="H53" s="223"/>
      <c r="I53" s="164">
        <f>J53+L53</f>
        <v>156.8</v>
      </c>
      <c r="J53" s="165">
        <f>150-23.2+30</f>
        <v>156.8</v>
      </c>
      <c r="K53" s="165"/>
      <c r="L53" s="224"/>
      <c r="M53" s="164"/>
      <c r="N53" s="165"/>
      <c r="O53" s="165"/>
      <c r="P53" s="223"/>
      <c r="Q53" s="164"/>
      <c r="R53" s="165"/>
      <c r="S53" s="165"/>
      <c r="T53" s="224"/>
      <c r="U53" s="164"/>
      <c r="V53" s="165"/>
      <c r="W53" s="165"/>
      <c r="X53" s="224"/>
    </row>
    <row r="54" spans="3:24" ht="12.75">
      <c r="C54" s="47">
        <v>44</v>
      </c>
      <c r="D54" s="861" t="s">
        <v>299</v>
      </c>
      <c r="E54" s="27">
        <f t="shared" si="4"/>
        <v>16</v>
      </c>
      <c r="F54" s="48">
        <f t="shared" si="4"/>
        <v>16</v>
      </c>
      <c r="G54" s="32"/>
      <c r="H54" s="43"/>
      <c r="I54" s="29"/>
      <c r="J54" s="32"/>
      <c r="K54" s="32"/>
      <c r="L54" s="45"/>
      <c r="M54" s="29">
        <f>N54+P54</f>
        <v>16</v>
      </c>
      <c r="N54" s="32">
        <v>16</v>
      </c>
      <c r="O54" s="32"/>
      <c r="P54" s="43"/>
      <c r="Q54" s="29"/>
      <c r="R54" s="32"/>
      <c r="S54" s="32"/>
      <c r="T54" s="45"/>
      <c r="U54" s="29"/>
      <c r="V54" s="32"/>
      <c r="W54" s="32"/>
      <c r="X54" s="45"/>
    </row>
    <row r="55" spans="3:24" ht="12.75">
      <c r="C55" s="47">
        <v>45</v>
      </c>
      <c r="D55" s="861" t="s">
        <v>290</v>
      </c>
      <c r="E55" s="27">
        <f t="shared" si="4"/>
        <v>50</v>
      </c>
      <c r="F55" s="48">
        <f t="shared" si="4"/>
        <v>50</v>
      </c>
      <c r="G55" s="32"/>
      <c r="H55" s="43"/>
      <c r="I55" s="29">
        <f aca="true" t="shared" si="5" ref="I55:I74">J55+L55</f>
        <v>50</v>
      </c>
      <c r="J55" s="32">
        <v>50</v>
      </c>
      <c r="K55" s="32"/>
      <c r="L55" s="45"/>
      <c r="M55" s="29"/>
      <c r="N55" s="32"/>
      <c r="O55" s="32"/>
      <c r="P55" s="43"/>
      <c r="Q55" s="29"/>
      <c r="R55" s="32"/>
      <c r="S55" s="32"/>
      <c r="T55" s="45"/>
      <c r="U55" s="29"/>
      <c r="V55" s="32"/>
      <c r="W55" s="32"/>
      <c r="X55" s="45"/>
    </row>
    <row r="56" spans="3:24" ht="12.75">
      <c r="C56" s="47">
        <v>46</v>
      </c>
      <c r="D56" s="861" t="s">
        <v>134</v>
      </c>
      <c r="E56" s="27">
        <f t="shared" si="4"/>
        <v>5</v>
      </c>
      <c r="F56" s="48">
        <f t="shared" si="4"/>
        <v>5</v>
      </c>
      <c r="G56" s="48">
        <f t="shared" si="4"/>
        <v>4.929</v>
      </c>
      <c r="H56" s="43"/>
      <c r="I56" s="29">
        <f t="shared" si="5"/>
        <v>5</v>
      </c>
      <c r="J56" s="32">
        <v>5</v>
      </c>
      <c r="K56" s="165">
        <v>4.929</v>
      </c>
      <c r="L56" s="45"/>
      <c r="M56" s="29"/>
      <c r="N56" s="32"/>
      <c r="O56" s="32"/>
      <c r="P56" s="43"/>
      <c r="Q56" s="29"/>
      <c r="R56" s="32"/>
      <c r="S56" s="32"/>
      <c r="T56" s="45"/>
      <c r="U56" s="29"/>
      <c r="V56" s="32"/>
      <c r="W56" s="32"/>
      <c r="X56" s="45"/>
    </row>
    <row r="57" spans="3:26" ht="12.75">
      <c r="C57" s="47">
        <v>47</v>
      </c>
      <c r="D57" s="861" t="s">
        <v>670</v>
      </c>
      <c r="E57" s="27">
        <f t="shared" si="4"/>
        <v>248.382</v>
      </c>
      <c r="F57" s="48">
        <f t="shared" si="4"/>
        <v>178.382</v>
      </c>
      <c r="G57" s="48"/>
      <c r="H57" s="48">
        <f>L57+P57+T57+X57</f>
        <v>70</v>
      </c>
      <c r="I57" s="29">
        <f t="shared" si="5"/>
        <v>248.382</v>
      </c>
      <c r="J57" s="165">
        <f>130+48.382</f>
        <v>178.382</v>
      </c>
      <c r="K57" s="44"/>
      <c r="L57" s="45">
        <v>70</v>
      </c>
      <c r="M57" s="29"/>
      <c r="N57" s="32"/>
      <c r="O57" s="32"/>
      <c r="P57" s="43"/>
      <c r="Q57" s="29"/>
      <c r="R57" s="32"/>
      <c r="S57" s="32"/>
      <c r="T57" s="45"/>
      <c r="U57" s="29"/>
      <c r="V57" s="32"/>
      <c r="W57" s="32"/>
      <c r="X57" s="45"/>
      <c r="Z57" s="10"/>
    </row>
    <row r="58" spans="3:24" ht="12.75">
      <c r="C58" s="47">
        <v>48</v>
      </c>
      <c r="D58" s="859" t="s">
        <v>300</v>
      </c>
      <c r="E58" s="27">
        <f t="shared" si="4"/>
        <v>42</v>
      </c>
      <c r="F58" s="48"/>
      <c r="G58" s="48"/>
      <c r="H58" s="48">
        <f>L58+P58+T58+X58</f>
        <v>42</v>
      </c>
      <c r="I58" s="29">
        <f t="shared" si="5"/>
        <v>42</v>
      </c>
      <c r="J58" s="32"/>
      <c r="K58" s="44"/>
      <c r="L58" s="45">
        <v>42</v>
      </c>
      <c r="M58" s="29"/>
      <c r="N58" s="32"/>
      <c r="O58" s="32"/>
      <c r="P58" s="43"/>
      <c r="Q58" s="29"/>
      <c r="R58" s="32"/>
      <c r="S58" s="32"/>
      <c r="T58" s="45"/>
      <c r="U58" s="29"/>
      <c r="V58" s="32"/>
      <c r="W58" s="32"/>
      <c r="X58" s="45"/>
    </row>
    <row r="59" spans="3:24" ht="26.25" customHeight="1">
      <c r="C59" s="47">
        <v>49</v>
      </c>
      <c r="D59" s="50" t="s">
        <v>350</v>
      </c>
      <c r="E59" s="36">
        <f t="shared" si="4"/>
        <v>125</v>
      </c>
      <c r="F59" s="49">
        <f t="shared" si="4"/>
        <v>125</v>
      </c>
      <c r="G59" s="38"/>
      <c r="H59" s="39"/>
      <c r="I59" s="40">
        <f t="shared" si="5"/>
        <v>125</v>
      </c>
      <c r="J59" s="38">
        <f>SUM(J60:J62)</f>
        <v>125</v>
      </c>
      <c r="K59" s="32"/>
      <c r="L59" s="45"/>
      <c r="M59" s="29"/>
      <c r="N59" s="32"/>
      <c r="O59" s="32"/>
      <c r="P59" s="43"/>
      <c r="Q59" s="29"/>
      <c r="R59" s="32"/>
      <c r="S59" s="32"/>
      <c r="T59" s="45"/>
      <c r="U59" s="29"/>
      <c r="V59" s="32"/>
      <c r="W59" s="32"/>
      <c r="X59" s="45"/>
    </row>
    <row r="60" spans="3:24" ht="12.75" customHeight="1">
      <c r="C60" s="47">
        <v>50</v>
      </c>
      <c r="D60" s="861" t="s">
        <v>135</v>
      </c>
      <c r="E60" s="27">
        <f t="shared" si="4"/>
        <v>40</v>
      </c>
      <c r="F60" s="48">
        <f t="shared" si="4"/>
        <v>40</v>
      </c>
      <c r="G60" s="32"/>
      <c r="H60" s="43"/>
      <c r="I60" s="29">
        <f t="shared" si="5"/>
        <v>40</v>
      </c>
      <c r="J60" s="32">
        <v>40</v>
      </c>
      <c r="K60" s="32"/>
      <c r="L60" s="45"/>
      <c r="M60" s="29"/>
      <c r="N60" s="32"/>
      <c r="O60" s="32"/>
      <c r="P60" s="43"/>
      <c r="Q60" s="29"/>
      <c r="R60" s="32"/>
      <c r="S60" s="32"/>
      <c r="T60" s="45"/>
      <c r="U60" s="29"/>
      <c r="V60" s="32"/>
      <c r="W60" s="32"/>
      <c r="X60" s="45"/>
    </row>
    <row r="61" spans="3:24" ht="25.5">
      <c r="C61" s="47">
        <v>51</v>
      </c>
      <c r="D61" s="861" t="s">
        <v>136</v>
      </c>
      <c r="E61" s="27">
        <f t="shared" si="4"/>
        <v>15</v>
      </c>
      <c r="F61" s="48">
        <f t="shared" si="4"/>
        <v>15</v>
      </c>
      <c r="G61" s="32"/>
      <c r="H61" s="43"/>
      <c r="I61" s="29">
        <f t="shared" si="5"/>
        <v>15</v>
      </c>
      <c r="J61" s="32">
        <v>15</v>
      </c>
      <c r="K61" s="32"/>
      <c r="L61" s="45"/>
      <c r="M61" s="29"/>
      <c r="N61" s="32"/>
      <c r="O61" s="32"/>
      <c r="P61" s="43"/>
      <c r="Q61" s="29"/>
      <c r="R61" s="32"/>
      <c r="S61" s="32"/>
      <c r="T61" s="45"/>
      <c r="U61" s="29"/>
      <c r="V61" s="32"/>
      <c r="W61" s="32"/>
      <c r="X61" s="45"/>
    </row>
    <row r="62" spans="3:24" ht="12.75">
      <c r="C62" s="47">
        <v>52</v>
      </c>
      <c r="D62" s="861" t="s">
        <v>137</v>
      </c>
      <c r="E62" s="27">
        <f t="shared" si="4"/>
        <v>70</v>
      </c>
      <c r="F62" s="48">
        <f t="shared" si="4"/>
        <v>70</v>
      </c>
      <c r="G62" s="32"/>
      <c r="H62" s="43"/>
      <c r="I62" s="29">
        <f t="shared" si="5"/>
        <v>70</v>
      </c>
      <c r="J62" s="32">
        <v>70</v>
      </c>
      <c r="K62" s="32"/>
      <c r="L62" s="45"/>
      <c r="M62" s="29"/>
      <c r="N62" s="32"/>
      <c r="O62" s="32"/>
      <c r="P62" s="43"/>
      <c r="Q62" s="29"/>
      <c r="R62" s="32"/>
      <c r="S62" s="32"/>
      <c r="T62" s="45"/>
      <c r="U62" s="29"/>
      <c r="V62" s="32"/>
      <c r="W62" s="32"/>
      <c r="X62" s="45"/>
    </row>
    <row r="63" spans="3:24" ht="12.75" customHeight="1">
      <c r="C63" s="47">
        <v>53</v>
      </c>
      <c r="D63" s="50" t="s">
        <v>138</v>
      </c>
      <c r="E63" s="36">
        <f t="shared" si="4"/>
        <v>757.8</v>
      </c>
      <c r="F63" s="49">
        <f t="shared" si="4"/>
        <v>757.8</v>
      </c>
      <c r="G63" s="38"/>
      <c r="H63" s="39"/>
      <c r="I63" s="40">
        <f t="shared" si="5"/>
        <v>757.8</v>
      </c>
      <c r="J63" s="38">
        <f>SUM(J64:J72)</f>
        <v>757.8</v>
      </c>
      <c r="K63" s="32"/>
      <c r="L63" s="45"/>
      <c r="M63" s="29"/>
      <c r="N63" s="32"/>
      <c r="O63" s="32"/>
      <c r="P63" s="43"/>
      <c r="Q63" s="29"/>
      <c r="R63" s="32"/>
      <c r="S63" s="32"/>
      <c r="T63" s="45"/>
      <c r="U63" s="40"/>
      <c r="V63" s="38"/>
      <c r="W63" s="32"/>
      <c r="X63" s="45"/>
    </row>
    <row r="64" spans="3:24" ht="12.75">
      <c r="C64" s="47">
        <v>54</v>
      </c>
      <c r="D64" s="861" t="s">
        <v>139</v>
      </c>
      <c r="E64" s="27">
        <f t="shared" si="4"/>
        <v>1.4</v>
      </c>
      <c r="F64" s="48">
        <f t="shared" si="4"/>
        <v>1.4</v>
      </c>
      <c r="G64" s="32"/>
      <c r="H64" s="43"/>
      <c r="I64" s="29">
        <f t="shared" si="5"/>
        <v>1.4</v>
      </c>
      <c r="J64" s="32">
        <v>1.4</v>
      </c>
      <c r="K64" s="32"/>
      <c r="L64" s="45"/>
      <c r="M64" s="29"/>
      <c r="N64" s="32"/>
      <c r="O64" s="32"/>
      <c r="P64" s="43"/>
      <c r="Q64" s="29"/>
      <c r="R64" s="32"/>
      <c r="S64" s="32"/>
      <c r="T64" s="45"/>
      <c r="U64" s="29"/>
      <c r="V64" s="32"/>
      <c r="W64" s="32"/>
      <c r="X64" s="45"/>
    </row>
    <row r="65" spans="3:24" ht="12.75">
      <c r="C65" s="47">
        <v>55</v>
      </c>
      <c r="D65" s="861" t="s">
        <v>140</v>
      </c>
      <c r="E65" s="27">
        <f t="shared" si="4"/>
        <v>1.4</v>
      </c>
      <c r="F65" s="48">
        <f t="shared" si="4"/>
        <v>1.4</v>
      </c>
      <c r="G65" s="32"/>
      <c r="H65" s="43"/>
      <c r="I65" s="29">
        <f t="shared" si="5"/>
        <v>1.4</v>
      </c>
      <c r="J65" s="32">
        <v>1.4</v>
      </c>
      <c r="K65" s="32"/>
      <c r="L65" s="45"/>
      <c r="M65" s="29"/>
      <c r="N65" s="32"/>
      <c r="O65" s="32"/>
      <c r="P65" s="43"/>
      <c r="Q65" s="29"/>
      <c r="R65" s="32"/>
      <c r="S65" s="32"/>
      <c r="T65" s="45"/>
      <c r="U65" s="29"/>
      <c r="V65" s="32"/>
      <c r="W65" s="32"/>
      <c r="X65" s="45"/>
    </row>
    <row r="66" spans="3:24" ht="25.5">
      <c r="C66" s="47">
        <v>56</v>
      </c>
      <c r="D66" s="861" t="s">
        <v>377</v>
      </c>
      <c r="E66" s="27">
        <f t="shared" si="4"/>
        <v>6</v>
      </c>
      <c r="F66" s="48">
        <f t="shared" si="4"/>
        <v>6</v>
      </c>
      <c r="G66" s="32"/>
      <c r="H66" s="43"/>
      <c r="I66" s="29">
        <f t="shared" si="5"/>
        <v>6</v>
      </c>
      <c r="J66" s="32">
        <v>6</v>
      </c>
      <c r="K66" s="32"/>
      <c r="L66" s="45"/>
      <c r="M66" s="29"/>
      <c r="N66" s="32"/>
      <c r="O66" s="32"/>
      <c r="P66" s="43"/>
      <c r="Q66" s="29"/>
      <c r="R66" s="32"/>
      <c r="S66" s="32"/>
      <c r="T66" s="45"/>
      <c r="U66" s="29"/>
      <c r="V66" s="32"/>
      <c r="W66" s="32"/>
      <c r="X66" s="45"/>
    </row>
    <row r="67" spans="3:24" ht="37.5" customHeight="1">
      <c r="C67" s="47">
        <v>57</v>
      </c>
      <c r="D67" s="863" t="s">
        <v>378</v>
      </c>
      <c r="E67" s="27">
        <f t="shared" si="4"/>
        <v>4</v>
      </c>
      <c r="F67" s="48">
        <f t="shared" si="4"/>
        <v>4</v>
      </c>
      <c r="G67" s="32"/>
      <c r="H67" s="43"/>
      <c r="I67" s="29">
        <f t="shared" si="5"/>
        <v>4</v>
      </c>
      <c r="J67" s="32">
        <v>4</v>
      </c>
      <c r="K67" s="32"/>
      <c r="L67" s="45"/>
      <c r="M67" s="29"/>
      <c r="N67" s="32"/>
      <c r="O67" s="32"/>
      <c r="P67" s="43"/>
      <c r="Q67" s="29"/>
      <c r="R67" s="32"/>
      <c r="S67" s="32"/>
      <c r="T67" s="45"/>
      <c r="U67" s="29"/>
      <c r="V67" s="32"/>
      <c r="W67" s="32"/>
      <c r="X67" s="45"/>
    </row>
    <row r="68" spans="3:24" ht="25.5" customHeight="1">
      <c r="C68" s="47">
        <v>58</v>
      </c>
      <c r="D68" s="863" t="s">
        <v>368</v>
      </c>
      <c r="E68" s="27">
        <f t="shared" si="4"/>
        <v>10</v>
      </c>
      <c r="F68" s="48">
        <f t="shared" si="4"/>
        <v>10</v>
      </c>
      <c r="G68" s="32"/>
      <c r="H68" s="43"/>
      <c r="I68" s="29">
        <f t="shared" si="5"/>
        <v>10</v>
      </c>
      <c r="J68" s="32">
        <v>10</v>
      </c>
      <c r="K68" s="32"/>
      <c r="L68" s="45"/>
      <c r="M68" s="29"/>
      <c r="N68" s="32"/>
      <c r="O68" s="32"/>
      <c r="P68" s="43"/>
      <c r="Q68" s="29"/>
      <c r="R68" s="32"/>
      <c r="S68" s="32"/>
      <c r="T68" s="45"/>
      <c r="U68" s="29"/>
      <c r="V68" s="32"/>
      <c r="W68" s="32"/>
      <c r="X68" s="45"/>
    </row>
    <row r="69" spans="3:24" ht="12.75" customHeight="1">
      <c r="C69" s="47">
        <v>59</v>
      </c>
      <c r="D69" s="863" t="s">
        <v>369</v>
      </c>
      <c r="E69" s="27">
        <f t="shared" si="4"/>
        <v>15</v>
      </c>
      <c r="F69" s="48">
        <f t="shared" si="4"/>
        <v>15</v>
      </c>
      <c r="G69" s="32"/>
      <c r="H69" s="43"/>
      <c r="I69" s="29">
        <f t="shared" si="5"/>
        <v>15</v>
      </c>
      <c r="J69" s="32">
        <v>15</v>
      </c>
      <c r="K69" s="32"/>
      <c r="L69" s="45"/>
      <c r="M69" s="29"/>
      <c r="N69" s="32"/>
      <c r="O69" s="32"/>
      <c r="P69" s="43"/>
      <c r="Q69" s="29"/>
      <c r="R69" s="32"/>
      <c r="S69" s="32"/>
      <c r="T69" s="45"/>
      <c r="U69" s="29"/>
      <c r="V69" s="32"/>
      <c r="W69" s="32"/>
      <c r="X69" s="45"/>
    </row>
    <row r="70" spans="3:24" ht="12.75">
      <c r="C70" s="47">
        <v>60</v>
      </c>
      <c r="D70" s="861" t="s">
        <v>291</v>
      </c>
      <c r="E70" s="27">
        <f t="shared" si="4"/>
        <v>10</v>
      </c>
      <c r="F70" s="48">
        <f t="shared" si="4"/>
        <v>10</v>
      </c>
      <c r="G70" s="32"/>
      <c r="H70" s="43"/>
      <c r="I70" s="29">
        <f t="shared" si="5"/>
        <v>10</v>
      </c>
      <c r="J70" s="32">
        <v>10</v>
      </c>
      <c r="K70" s="32"/>
      <c r="L70" s="45"/>
      <c r="M70" s="29"/>
      <c r="N70" s="32"/>
      <c r="O70" s="32"/>
      <c r="P70" s="43"/>
      <c r="Q70" s="29"/>
      <c r="R70" s="32"/>
      <c r="S70" s="32"/>
      <c r="T70" s="45"/>
      <c r="U70" s="29"/>
      <c r="V70" s="32"/>
      <c r="W70" s="32"/>
      <c r="X70" s="45"/>
    </row>
    <row r="71" spans="3:24" ht="12.75">
      <c r="C71" s="47">
        <v>61</v>
      </c>
      <c r="D71" s="861" t="s">
        <v>292</v>
      </c>
      <c r="E71" s="27">
        <f t="shared" si="4"/>
        <v>585</v>
      </c>
      <c r="F71" s="48">
        <f t="shared" si="4"/>
        <v>585</v>
      </c>
      <c r="G71" s="32"/>
      <c r="H71" s="43"/>
      <c r="I71" s="29">
        <f t="shared" si="5"/>
        <v>585</v>
      </c>
      <c r="J71" s="32">
        <v>585</v>
      </c>
      <c r="K71" s="32"/>
      <c r="L71" s="45"/>
      <c r="M71" s="29"/>
      <c r="N71" s="32"/>
      <c r="O71" s="32"/>
      <c r="P71" s="43"/>
      <c r="Q71" s="29"/>
      <c r="R71" s="32"/>
      <c r="S71" s="32"/>
      <c r="T71" s="45"/>
      <c r="U71" s="29"/>
      <c r="V71" s="32"/>
      <c r="W71" s="32"/>
      <c r="X71" s="45"/>
    </row>
    <row r="72" spans="3:24" ht="12.75">
      <c r="C72" s="47">
        <v>62</v>
      </c>
      <c r="D72" s="864" t="s">
        <v>141</v>
      </c>
      <c r="E72" s="27">
        <f t="shared" si="4"/>
        <v>125</v>
      </c>
      <c r="F72" s="48">
        <f t="shared" si="4"/>
        <v>125</v>
      </c>
      <c r="G72" s="32"/>
      <c r="H72" s="43"/>
      <c r="I72" s="29">
        <f t="shared" si="5"/>
        <v>125</v>
      </c>
      <c r="J72" s="165">
        <v>125</v>
      </c>
      <c r="K72" s="32"/>
      <c r="L72" s="45"/>
      <c r="M72" s="29"/>
      <c r="N72" s="32"/>
      <c r="O72" s="32"/>
      <c r="P72" s="43"/>
      <c r="Q72" s="29"/>
      <c r="R72" s="32"/>
      <c r="S72" s="32"/>
      <c r="T72" s="45"/>
      <c r="U72" s="29"/>
      <c r="V72" s="32"/>
      <c r="W72" s="32"/>
      <c r="X72" s="45"/>
    </row>
    <row r="73" spans="3:24" ht="12.75">
      <c r="C73" s="47">
        <v>63</v>
      </c>
      <c r="D73" s="870" t="s">
        <v>684</v>
      </c>
      <c r="E73" s="36">
        <f t="shared" si="4"/>
        <v>173.2</v>
      </c>
      <c r="F73" s="49">
        <f t="shared" si="4"/>
        <v>173.2</v>
      </c>
      <c r="G73" s="38"/>
      <c r="H73" s="39"/>
      <c r="I73" s="40">
        <f t="shared" si="5"/>
        <v>173.2</v>
      </c>
      <c r="J73" s="542">
        <f>J74+J75</f>
        <v>173.2</v>
      </c>
      <c r="K73" s="32"/>
      <c r="L73" s="45"/>
      <c r="M73" s="29"/>
      <c r="N73" s="32"/>
      <c r="O73" s="32"/>
      <c r="P73" s="43"/>
      <c r="Q73" s="29"/>
      <c r="R73" s="32"/>
      <c r="S73" s="32"/>
      <c r="T73" s="45"/>
      <c r="U73" s="29"/>
      <c r="V73" s="32"/>
      <c r="W73" s="32"/>
      <c r="X73" s="45"/>
    </row>
    <row r="74" spans="3:24" ht="12.75">
      <c r="C74" s="47">
        <v>64</v>
      </c>
      <c r="D74" s="864" t="s">
        <v>697</v>
      </c>
      <c r="E74" s="27">
        <f t="shared" si="4"/>
        <v>23.2</v>
      </c>
      <c r="F74" s="48">
        <f t="shared" si="4"/>
        <v>23.2</v>
      </c>
      <c r="G74" s="32"/>
      <c r="H74" s="43"/>
      <c r="I74" s="29">
        <f t="shared" si="5"/>
        <v>23.2</v>
      </c>
      <c r="J74" s="543">
        <v>23.2</v>
      </c>
      <c r="K74" s="32"/>
      <c r="L74" s="45"/>
      <c r="M74" s="29"/>
      <c r="N74" s="32"/>
      <c r="O74" s="32"/>
      <c r="P74" s="43"/>
      <c r="Q74" s="29"/>
      <c r="R74" s="32"/>
      <c r="S74" s="32"/>
      <c r="T74" s="45"/>
      <c r="U74" s="29"/>
      <c r="V74" s="32"/>
      <c r="W74" s="32"/>
      <c r="X74" s="45"/>
    </row>
    <row r="75" spans="3:24" ht="12.75">
      <c r="C75" s="47">
        <v>65</v>
      </c>
      <c r="D75" s="864" t="s">
        <v>698</v>
      </c>
      <c r="E75" s="27">
        <f t="shared" si="4"/>
        <v>150</v>
      </c>
      <c r="F75" s="48">
        <f t="shared" si="4"/>
        <v>150</v>
      </c>
      <c r="G75" s="32"/>
      <c r="H75" s="43"/>
      <c r="I75" s="29">
        <v>150</v>
      </c>
      <c r="J75" s="543">
        <v>150</v>
      </c>
      <c r="K75" s="32"/>
      <c r="L75" s="45"/>
      <c r="M75" s="29"/>
      <c r="N75" s="32"/>
      <c r="O75" s="32"/>
      <c r="P75" s="43"/>
      <c r="Q75" s="29"/>
      <c r="R75" s="32"/>
      <c r="S75" s="32"/>
      <c r="T75" s="45"/>
      <c r="U75" s="29"/>
      <c r="V75" s="32"/>
      <c r="W75" s="32"/>
      <c r="X75" s="45"/>
    </row>
    <row r="76" spans="3:24" ht="12.75">
      <c r="C76" s="47">
        <v>66</v>
      </c>
      <c r="D76" s="35" t="s">
        <v>142</v>
      </c>
      <c r="E76" s="36">
        <f t="shared" si="4"/>
        <v>369</v>
      </c>
      <c r="F76" s="49">
        <f t="shared" si="4"/>
        <v>369</v>
      </c>
      <c r="G76" s="49"/>
      <c r="H76" s="328"/>
      <c r="I76" s="40">
        <f>J76+L76</f>
        <v>82</v>
      </c>
      <c r="J76" s="38">
        <f>J77+J79+J78</f>
        <v>82</v>
      </c>
      <c r="K76" s="38"/>
      <c r="L76" s="41"/>
      <c r="M76" s="40">
        <f>M77+M79</f>
        <v>287</v>
      </c>
      <c r="N76" s="38">
        <f>N77+N79</f>
        <v>287</v>
      </c>
      <c r="O76" s="32"/>
      <c r="P76" s="43"/>
      <c r="Q76" s="29"/>
      <c r="R76" s="32"/>
      <c r="S76" s="32"/>
      <c r="T76" s="45"/>
      <c r="U76" s="29"/>
      <c r="V76" s="32"/>
      <c r="W76" s="32"/>
      <c r="X76" s="45"/>
    </row>
    <row r="77" spans="3:24" ht="12.75">
      <c r="C77" s="47">
        <v>67</v>
      </c>
      <c r="D77" s="862" t="s">
        <v>296</v>
      </c>
      <c r="E77" s="27">
        <f t="shared" si="4"/>
        <v>287</v>
      </c>
      <c r="F77" s="48">
        <f t="shared" si="4"/>
        <v>287</v>
      </c>
      <c r="G77" s="32"/>
      <c r="H77" s="43"/>
      <c r="I77" s="29"/>
      <c r="J77" s="32"/>
      <c r="K77" s="32"/>
      <c r="L77" s="45"/>
      <c r="M77" s="29">
        <f>N77+P77</f>
        <v>287</v>
      </c>
      <c r="N77" s="32">
        <v>287</v>
      </c>
      <c r="O77" s="32"/>
      <c r="P77" s="43"/>
      <c r="Q77" s="29"/>
      <c r="R77" s="32"/>
      <c r="S77" s="32"/>
      <c r="T77" s="45"/>
      <c r="U77" s="29"/>
      <c r="V77" s="32"/>
      <c r="W77" s="32"/>
      <c r="X77" s="45"/>
    </row>
    <row r="78" spans="3:24" ht="25.5">
      <c r="C78" s="238">
        <v>68</v>
      </c>
      <c r="D78" s="864" t="s">
        <v>310</v>
      </c>
      <c r="E78" s="221">
        <f t="shared" si="4"/>
        <v>12</v>
      </c>
      <c r="F78" s="222">
        <f t="shared" si="4"/>
        <v>12</v>
      </c>
      <c r="G78" s="165"/>
      <c r="H78" s="223"/>
      <c r="I78" s="164">
        <f aca="true" t="shared" si="6" ref="I78:I83">J78+L78</f>
        <v>12</v>
      </c>
      <c r="J78" s="165">
        <v>12</v>
      </c>
      <c r="K78" s="165"/>
      <c r="L78" s="224"/>
      <c r="M78" s="164"/>
      <c r="N78" s="165"/>
      <c r="O78" s="165"/>
      <c r="P78" s="223"/>
      <c r="Q78" s="164"/>
      <c r="R78" s="165"/>
      <c r="S78" s="165"/>
      <c r="T78" s="224"/>
      <c r="U78" s="164"/>
      <c r="V78" s="165"/>
      <c r="W78" s="165"/>
      <c r="X78" s="224"/>
    </row>
    <row r="79" spans="3:25" ht="12.75">
      <c r="C79" s="238">
        <v>69</v>
      </c>
      <c r="D79" s="864" t="s">
        <v>295</v>
      </c>
      <c r="E79" s="27">
        <f t="shared" si="4"/>
        <v>70</v>
      </c>
      <c r="F79" s="48">
        <f t="shared" si="4"/>
        <v>70</v>
      </c>
      <c r="G79" s="32"/>
      <c r="H79" s="43"/>
      <c r="I79" s="213">
        <f t="shared" si="6"/>
        <v>70</v>
      </c>
      <c r="J79" s="211">
        <v>70</v>
      </c>
      <c r="K79" s="211"/>
      <c r="L79" s="214"/>
      <c r="M79" s="213"/>
      <c r="N79" s="211"/>
      <c r="O79" s="211"/>
      <c r="P79" s="212"/>
      <c r="Q79" s="213"/>
      <c r="R79" s="211"/>
      <c r="S79" s="211"/>
      <c r="T79" s="214"/>
      <c r="U79" s="213"/>
      <c r="V79" s="211"/>
      <c r="W79" s="211"/>
      <c r="X79" s="214"/>
      <c r="Y79" s="9"/>
    </row>
    <row r="80" spans="3:25" ht="12.75">
      <c r="C80" s="47">
        <v>70</v>
      </c>
      <c r="D80" s="35" t="s">
        <v>352</v>
      </c>
      <c r="E80" s="949">
        <f t="shared" si="4"/>
        <v>910.18002</v>
      </c>
      <c r="F80" s="950">
        <f t="shared" si="4"/>
        <v>910.18002</v>
      </c>
      <c r="G80" s="38">
        <f>K80+O80+S80+W80</f>
        <v>209.823</v>
      </c>
      <c r="H80" s="39"/>
      <c r="I80" s="215">
        <f t="shared" si="6"/>
        <v>844.409</v>
      </c>
      <c r="J80" s="16">
        <f>SUM(J81:J106)-J100</f>
        <v>844.409</v>
      </c>
      <c r="K80" s="16">
        <f>SUM(K81:K95)</f>
        <v>187.707</v>
      </c>
      <c r="L80" s="214"/>
      <c r="M80" s="945">
        <f>N80+P80</f>
        <v>50.64802</v>
      </c>
      <c r="N80" s="946">
        <f>SUM(N81:N95)</f>
        <v>50.64802</v>
      </c>
      <c r="O80" s="16">
        <f>SUM(O81:O95)</f>
        <v>7.227</v>
      </c>
      <c r="P80" s="212"/>
      <c r="Q80" s="215">
        <f>+R80+T80</f>
        <v>15.123</v>
      </c>
      <c r="R80" s="16">
        <f>+R84+R85+R94+R95</f>
        <v>15.123</v>
      </c>
      <c r="S80" s="16">
        <f>+S84+S85+S94+S95</f>
        <v>14.889</v>
      </c>
      <c r="T80" s="214"/>
      <c r="U80" s="213"/>
      <c r="V80" s="211"/>
      <c r="W80" s="211"/>
      <c r="X80" s="214"/>
      <c r="Y80" s="9"/>
    </row>
    <row r="81" spans="3:25" ht="12.75">
      <c r="C81" s="47">
        <v>71</v>
      </c>
      <c r="D81" s="31" t="s">
        <v>143</v>
      </c>
      <c r="E81" s="27">
        <f aca="true" t="shared" si="7" ref="E81:G117">I81+M81+Q81+U81</f>
        <v>20</v>
      </c>
      <c r="F81" s="48">
        <f t="shared" si="7"/>
        <v>20</v>
      </c>
      <c r="G81" s="32"/>
      <c r="H81" s="43"/>
      <c r="I81" s="213">
        <f t="shared" si="6"/>
        <v>20</v>
      </c>
      <c r="J81" s="211">
        <v>20</v>
      </c>
      <c r="K81" s="211"/>
      <c r="L81" s="214"/>
      <c r="M81" s="213"/>
      <c r="N81" s="211"/>
      <c r="O81" s="211"/>
      <c r="P81" s="212"/>
      <c r="Q81" s="213"/>
      <c r="R81" s="211"/>
      <c r="S81" s="211"/>
      <c r="T81" s="214"/>
      <c r="U81" s="213"/>
      <c r="V81" s="211"/>
      <c r="W81" s="211"/>
      <c r="X81" s="214"/>
      <c r="Y81" s="9"/>
    </row>
    <row r="82" spans="3:25" ht="12.75">
      <c r="C82" s="47">
        <v>72</v>
      </c>
      <c r="D82" s="31" t="s">
        <v>144</v>
      </c>
      <c r="E82" s="27">
        <f t="shared" si="7"/>
        <v>1</v>
      </c>
      <c r="F82" s="48">
        <f t="shared" si="7"/>
        <v>1</v>
      </c>
      <c r="G82" s="32"/>
      <c r="H82" s="43"/>
      <c r="I82" s="213">
        <f t="shared" si="6"/>
        <v>1</v>
      </c>
      <c r="J82" s="211">
        <v>1</v>
      </c>
      <c r="K82" s="211"/>
      <c r="L82" s="214"/>
      <c r="M82" s="213"/>
      <c r="N82" s="211"/>
      <c r="O82" s="211"/>
      <c r="P82" s="212"/>
      <c r="Q82" s="213"/>
      <c r="R82" s="211"/>
      <c r="S82" s="211"/>
      <c r="T82" s="214"/>
      <c r="U82" s="213"/>
      <c r="V82" s="211"/>
      <c r="W82" s="211"/>
      <c r="X82" s="214"/>
      <c r="Y82" s="9"/>
    </row>
    <row r="83" spans="3:25" ht="12.75">
      <c r="C83" s="47">
        <v>73</v>
      </c>
      <c r="D83" s="31" t="s">
        <v>145</v>
      </c>
      <c r="E83" s="27">
        <f t="shared" si="7"/>
        <v>365.216</v>
      </c>
      <c r="F83" s="48">
        <f t="shared" si="7"/>
        <v>365.216</v>
      </c>
      <c r="G83" s="32"/>
      <c r="H83" s="43"/>
      <c r="I83" s="213">
        <f t="shared" si="6"/>
        <v>365.216</v>
      </c>
      <c r="J83" s="543">
        <v>365.216</v>
      </c>
      <c r="K83" s="211"/>
      <c r="L83" s="214"/>
      <c r="M83" s="213"/>
      <c r="N83" s="211"/>
      <c r="O83" s="211"/>
      <c r="P83" s="212"/>
      <c r="Q83" s="213"/>
      <c r="R83" s="211"/>
      <c r="S83" s="211"/>
      <c r="T83" s="214"/>
      <c r="U83" s="213"/>
      <c r="V83" s="211"/>
      <c r="W83" s="211"/>
      <c r="X83" s="214"/>
      <c r="Y83" s="9"/>
    </row>
    <row r="84" spans="3:25" ht="12.75">
      <c r="C84" s="47">
        <v>74</v>
      </c>
      <c r="D84" s="871" t="s">
        <v>146</v>
      </c>
      <c r="E84" s="27">
        <f t="shared" si="7"/>
        <v>9.123</v>
      </c>
      <c r="F84" s="48">
        <f t="shared" si="7"/>
        <v>9.123</v>
      </c>
      <c r="G84" s="32">
        <f>K84+O84+S84+W84</f>
        <v>8.993</v>
      </c>
      <c r="H84" s="43"/>
      <c r="I84" s="213"/>
      <c r="J84" s="211"/>
      <c r="K84" s="211"/>
      <c r="L84" s="214"/>
      <c r="M84" s="213"/>
      <c r="N84" s="211"/>
      <c r="O84" s="211"/>
      <c r="P84" s="212"/>
      <c r="Q84" s="213">
        <f>+R84</f>
        <v>9.123</v>
      </c>
      <c r="R84" s="211">
        <v>9.123</v>
      </c>
      <c r="S84" s="211">
        <v>8.993</v>
      </c>
      <c r="T84" s="214"/>
      <c r="U84" s="213"/>
      <c r="V84" s="211"/>
      <c r="W84" s="211"/>
      <c r="X84" s="214"/>
      <c r="Y84" s="9"/>
    </row>
    <row r="85" spans="3:25" ht="12.75">
      <c r="C85" s="47">
        <v>75</v>
      </c>
      <c r="D85" s="858" t="s">
        <v>147</v>
      </c>
      <c r="E85" s="947">
        <f>I85+M85+Q85+U85</f>
        <v>48.36302</v>
      </c>
      <c r="F85" s="948">
        <f>J85+N85+R85+V85</f>
        <v>48.36302</v>
      </c>
      <c r="G85" s="32">
        <f>K85+O85+S85+W85</f>
        <v>5.549</v>
      </c>
      <c r="H85" s="43"/>
      <c r="I85" s="213"/>
      <c r="J85" s="211"/>
      <c r="K85" s="211"/>
      <c r="L85" s="214"/>
      <c r="M85" s="943">
        <f>N85+P85</f>
        <v>48.36302</v>
      </c>
      <c r="N85" s="944">
        <v>48.36302</v>
      </c>
      <c r="O85" s="211">
        <v>5.549</v>
      </c>
      <c r="P85" s="212"/>
      <c r="Q85" s="213"/>
      <c r="R85" s="211"/>
      <c r="S85" s="211"/>
      <c r="T85" s="214"/>
      <c r="U85" s="213"/>
      <c r="V85" s="211"/>
      <c r="W85" s="211"/>
      <c r="X85" s="214"/>
      <c r="Y85" s="9"/>
    </row>
    <row r="86" spans="3:25" ht="12.75">
      <c r="C86" s="47">
        <v>76</v>
      </c>
      <c r="D86" s="31" t="s">
        <v>148</v>
      </c>
      <c r="E86" s="27">
        <f>I86+M86+Q86+U86</f>
        <v>2</v>
      </c>
      <c r="F86" s="48">
        <f>J86+N86+R86+V86</f>
        <v>2</v>
      </c>
      <c r="G86" s="32"/>
      <c r="H86" s="43"/>
      <c r="I86" s="213">
        <f>J86+L86</f>
        <v>2</v>
      </c>
      <c r="J86" s="211">
        <v>2</v>
      </c>
      <c r="K86" s="211"/>
      <c r="L86" s="214"/>
      <c r="M86" s="213"/>
      <c r="N86" s="211"/>
      <c r="O86" s="211"/>
      <c r="P86" s="212"/>
      <c r="Q86" s="213"/>
      <c r="R86" s="211"/>
      <c r="S86" s="211"/>
      <c r="T86" s="214"/>
      <c r="U86" s="213"/>
      <c r="V86" s="211"/>
      <c r="W86" s="211"/>
      <c r="X86" s="214"/>
      <c r="Y86" s="9"/>
    </row>
    <row r="87" spans="3:25" ht="12.75">
      <c r="C87" s="47">
        <v>77</v>
      </c>
      <c r="D87" s="31" t="s">
        <v>149</v>
      </c>
      <c r="E87" s="27">
        <f t="shared" si="7"/>
        <v>4.7</v>
      </c>
      <c r="F87" s="48">
        <f t="shared" si="7"/>
        <v>4.7</v>
      </c>
      <c r="G87" s="32"/>
      <c r="H87" s="43"/>
      <c r="I87" s="213">
        <f aca="true" t="shared" si="8" ref="I87:I120">J87+L87</f>
        <v>4.7</v>
      </c>
      <c r="J87" s="211">
        <v>4.7</v>
      </c>
      <c r="K87" s="211"/>
      <c r="L87" s="214"/>
      <c r="M87" s="213"/>
      <c r="N87" s="211"/>
      <c r="O87" s="211"/>
      <c r="P87" s="212"/>
      <c r="Q87" s="213"/>
      <c r="R87" s="211"/>
      <c r="S87" s="211"/>
      <c r="T87" s="214"/>
      <c r="U87" s="213"/>
      <c r="V87" s="211"/>
      <c r="W87" s="211"/>
      <c r="X87" s="214"/>
      <c r="Y87" s="9"/>
    </row>
    <row r="88" spans="3:25" ht="12.75" customHeight="1">
      <c r="C88" s="47">
        <v>78</v>
      </c>
      <c r="D88" s="861" t="s">
        <v>150</v>
      </c>
      <c r="E88" s="27">
        <f t="shared" si="7"/>
        <v>13</v>
      </c>
      <c r="F88" s="48">
        <f t="shared" si="7"/>
        <v>13</v>
      </c>
      <c r="G88" s="32"/>
      <c r="H88" s="43"/>
      <c r="I88" s="213">
        <f t="shared" si="8"/>
        <v>13</v>
      </c>
      <c r="J88" s="211">
        <v>13</v>
      </c>
      <c r="K88" s="211"/>
      <c r="L88" s="214"/>
      <c r="M88" s="213"/>
      <c r="N88" s="211"/>
      <c r="O88" s="211"/>
      <c r="P88" s="212"/>
      <c r="Q88" s="213"/>
      <c r="R88" s="211"/>
      <c r="S88" s="211"/>
      <c r="T88" s="214"/>
      <c r="U88" s="213"/>
      <c r="V88" s="211"/>
      <c r="W88" s="211"/>
      <c r="X88" s="214"/>
      <c r="Y88" s="9"/>
    </row>
    <row r="89" spans="3:25" ht="25.5">
      <c r="C89" s="47">
        <v>79</v>
      </c>
      <c r="D89" s="861" t="s">
        <v>370</v>
      </c>
      <c r="E89" s="27">
        <f t="shared" si="7"/>
        <v>20</v>
      </c>
      <c r="F89" s="48">
        <f t="shared" si="7"/>
        <v>20</v>
      </c>
      <c r="G89" s="32"/>
      <c r="H89" s="43"/>
      <c r="I89" s="213">
        <f t="shared" si="8"/>
        <v>20</v>
      </c>
      <c r="J89" s="211">
        <v>20</v>
      </c>
      <c r="K89" s="211"/>
      <c r="L89" s="214"/>
      <c r="M89" s="213"/>
      <c r="N89" s="211"/>
      <c r="O89" s="211"/>
      <c r="P89" s="212"/>
      <c r="Q89" s="213"/>
      <c r="R89" s="211"/>
      <c r="S89" s="211"/>
      <c r="T89" s="214"/>
      <c r="U89" s="213"/>
      <c r="V89" s="211"/>
      <c r="W89" s="211"/>
      <c r="X89" s="214"/>
      <c r="Y89" s="9"/>
    </row>
    <row r="90" spans="3:25" ht="12.75">
      <c r="C90" s="47">
        <v>80</v>
      </c>
      <c r="D90" s="861" t="s">
        <v>371</v>
      </c>
      <c r="E90" s="27">
        <f t="shared" si="7"/>
        <v>30</v>
      </c>
      <c r="F90" s="48">
        <f t="shared" si="7"/>
        <v>30</v>
      </c>
      <c r="G90" s="32"/>
      <c r="H90" s="43"/>
      <c r="I90" s="213">
        <f t="shared" si="8"/>
        <v>30</v>
      </c>
      <c r="J90" s="211">
        <v>30</v>
      </c>
      <c r="K90" s="211"/>
      <c r="L90" s="214"/>
      <c r="M90" s="213"/>
      <c r="N90" s="211"/>
      <c r="O90" s="211"/>
      <c r="P90" s="212"/>
      <c r="Q90" s="213"/>
      <c r="R90" s="211"/>
      <c r="S90" s="211"/>
      <c r="T90" s="214"/>
      <c r="U90" s="213"/>
      <c r="V90" s="211"/>
      <c r="W90" s="211"/>
      <c r="X90" s="214"/>
      <c r="Y90" s="9"/>
    </row>
    <row r="91" spans="3:25" ht="12.75">
      <c r="C91" s="47">
        <v>81</v>
      </c>
      <c r="D91" s="861" t="s">
        <v>372</v>
      </c>
      <c r="E91" s="27">
        <f t="shared" si="7"/>
        <v>20</v>
      </c>
      <c r="F91" s="48">
        <f t="shared" si="7"/>
        <v>20</v>
      </c>
      <c r="G91" s="32"/>
      <c r="H91" s="43"/>
      <c r="I91" s="213">
        <f t="shared" si="8"/>
        <v>20</v>
      </c>
      <c r="J91" s="211">
        <v>20</v>
      </c>
      <c r="K91" s="211"/>
      <c r="L91" s="214"/>
      <c r="M91" s="213"/>
      <c r="N91" s="211"/>
      <c r="O91" s="211"/>
      <c r="P91" s="212"/>
      <c r="Q91" s="213"/>
      <c r="R91" s="211"/>
      <c r="S91" s="211"/>
      <c r="T91" s="214"/>
      <c r="U91" s="213"/>
      <c r="V91" s="211"/>
      <c r="W91" s="211"/>
      <c r="X91" s="214"/>
      <c r="Y91" s="9"/>
    </row>
    <row r="92" spans="3:25" ht="12.75" customHeight="1">
      <c r="C92" s="47">
        <v>82</v>
      </c>
      <c r="D92" s="861" t="s">
        <v>373</v>
      </c>
      <c r="E92" s="27">
        <f t="shared" si="7"/>
        <v>20</v>
      </c>
      <c r="F92" s="48">
        <f t="shared" si="7"/>
        <v>20</v>
      </c>
      <c r="G92" s="32"/>
      <c r="H92" s="43"/>
      <c r="I92" s="213">
        <f t="shared" si="8"/>
        <v>20</v>
      </c>
      <c r="J92" s="211">
        <v>20</v>
      </c>
      <c r="K92" s="211"/>
      <c r="L92" s="214"/>
      <c r="M92" s="213"/>
      <c r="N92" s="211"/>
      <c r="O92" s="211"/>
      <c r="P92" s="212"/>
      <c r="Q92" s="213"/>
      <c r="R92" s="211"/>
      <c r="S92" s="211"/>
      <c r="T92" s="214"/>
      <c r="U92" s="213"/>
      <c r="V92" s="211"/>
      <c r="W92" s="211"/>
      <c r="X92" s="214"/>
      <c r="Y92" s="9"/>
    </row>
    <row r="93" spans="3:25" ht="12.75">
      <c r="C93" s="47">
        <v>83</v>
      </c>
      <c r="D93" s="31" t="s">
        <v>151</v>
      </c>
      <c r="E93" s="27">
        <f t="shared" si="7"/>
        <v>3.3</v>
      </c>
      <c r="F93" s="48">
        <f t="shared" si="7"/>
        <v>3.3</v>
      </c>
      <c r="G93" s="32"/>
      <c r="H93" s="43"/>
      <c r="I93" s="213">
        <f t="shared" si="8"/>
        <v>3.3</v>
      </c>
      <c r="J93" s="211">
        <v>3.3</v>
      </c>
      <c r="K93" s="211"/>
      <c r="L93" s="214"/>
      <c r="M93" s="213"/>
      <c r="N93" s="211"/>
      <c r="O93" s="211"/>
      <c r="P93" s="212"/>
      <c r="Q93" s="213"/>
      <c r="R93" s="211"/>
      <c r="S93" s="211"/>
      <c r="T93" s="214"/>
      <c r="U93" s="213"/>
      <c r="V93" s="211"/>
      <c r="W93" s="211"/>
      <c r="X93" s="214"/>
      <c r="Y93" s="9"/>
    </row>
    <row r="94" spans="3:25" ht="12.75">
      <c r="C94" s="47">
        <v>84</v>
      </c>
      <c r="D94" s="31" t="s">
        <v>152</v>
      </c>
      <c r="E94" s="27">
        <f t="shared" si="7"/>
        <v>184.82999999999998</v>
      </c>
      <c r="F94" s="48">
        <f t="shared" si="7"/>
        <v>184.82999999999998</v>
      </c>
      <c r="G94" s="48">
        <f t="shared" si="7"/>
        <v>173.96599999999998</v>
      </c>
      <c r="H94" s="43"/>
      <c r="I94" s="213">
        <f t="shared" si="8"/>
        <v>176.545</v>
      </c>
      <c r="J94" s="211">
        <v>176.545</v>
      </c>
      <c r="K94" s="211">
        <v>166.392</v>
      </c>
      <c r="L94" s="214"/>
      <c r="M94" s="29">
        <f>N94+P94</f>
        <v>2.285</v>
      </c>
      <c r="N94" s="211">
        <v>2.285</v>
      </c>
      <c r="O94" s="211">
        <v>1.678</v>
      </c>
      <c r="P94" s="212"/>
      <c r="Q94" s="213">
        <f>+R94</f>
        <v>6</v>
      </c>
      <c r="R94" s="211">
        <v>6</v>
      </c>
      <c r="S94" s="211">
        <v>5.896</v>
      </c>
      <c r="T94" s="214"/>
      <c r="U94" s="213"/>
      <c r="V94" s="211"/>
      <c r="W94" s="211"/>
      <c r="X94" s="214"/>
      <c r="Y94" s="9"/>
    </row>
    <row r="95" spans="3:25" ht="12.75">
      <c r="C95" s="47">
        <v>85</v>
      </c>
      <c r="D95" s="31" t="s">
        <v>153</v>
      </c>
      <c r="E95" s="27">
        <f t="shared" si="7"/>
        <v>26.648</v>
      </c>
      <c r="F95" s="48">
        <f t="shared" si="7"/>
        <v>26.648</v>
      </c>
      <c r="G95" s="48">
        <f t="shared" si="7"/>
        <v>21.315</v>
      </c>
      <c r="H95" s="43"/>
      <c r="I95" s="213">
        <f t="shared" si="8"/>
        <v>26.648</v>
      </c>
      <c r="J95" s="211">
        <v>26.648</v>
      </c>
      <c r="K95" s="211">
        <v>21.315</v>
      </c>
      <c r="L95" s="214"/>
      <c r="M95" s="213"/>
      <c r="N95" s="211"/>
      <c r="O95" s="211"/>
      <c r="P95" s="212"/>
      <c r="Q95" s="213"/>
      <c r="R95" s="211"/>
      <c r="S95" s="211"/>
      <c r="T95" s="214"/>
      <c r="U95" s="213"/>
      <c r="V95" s="211"/>
      <c r="W95" s="211"/>
      <c r="X95" s="214"/>
      <c r="Y95" s="9"/>
    </row>
    <row r="96" spans="3:25" ht="25.5" customHeight="1">
      <c r="C96" s="47">
        <v>86</v>
      </c>
      <c r="D96" s="863" t="s">
        <v>374</v>
      </c>
      <c r="E96" s="27">
        <f t="shared" si="7"/>
        <v>2.5</v>
      </c>
      <c r="F96" s="48">
        <f t="shared" si="7"/>
        <v>2.5</v>
      </c>
      <c r="G96" s="48"/>
      <c r="H96" s="43"/>
      <c r="I96" s="213">
        <f t="shared" si="8"/>
        <v>2.5</v>
      </c>
      <c r="J96" s="211">
        <v>2.5</v>
      </c>
      <c r="K96" s="211"/>
      <c r="L96" s="214"/>
      <c r="M96" s="213"/>
      <c r="N96" s="211"/>
      <c r="O96" s="211"/>
      <c r="P96" s="212"/>
      <c r="Q96" s="213"/>
      <c r="R96" s="211"/>
      <c r="S96" s="211"/>
      <c r="T96" s="214"/>
      <c r="U96" s="213"/>
      <c r="V96" s="211"/>
      <c r="W96" s="211"/>
      <c r="X96" s="214"/>
      <c r="Y96" s="9"/>
    </row>
    <row r="97" spans="3:25" ht="12.75">
      <c r="C97" s="47">
        <v>87</v>
      </c>
      <c r="D97" s="861" t="s">
        <v>123</v>
      </c>
      <c r="E97" s="27">
        <f t="shared" si="7"/>
        <v>25</v>
      </c>
      <c r="F97" s="48">
        <f t="shared" si="7"/>
        <v>25</v>
      </c>
      <c r="G97" s="48"/>
      <c r="H97" s="43"/>
      <c r="I97" s="213">
        <f t="shared" si="8"/>
        <v>25</v>
      </c>
      <c r="J97" s="211">
        <v>25</v>
      </c>
      <c r="K97" s="211"/>
      <c r="L97" s="214"/>
      <c r="M97" s="213"/>
      <c r="N97" s="211"/>
      <c r="O97" s="211"/>
      <c r="P97" s="212"/>
      <c r="Q97" s="213"/>
      <c r="R97" s="211"/>
      <c r="S97" s="211"/>
      <c r="T97" s="214"/>
      <c r="U97" s="213"/>
      <c r="V97" s="211"/>
      <c r="W97" s="211"/>
      <c r="X97" s="214"/>
      <c r="Y97" s="9"/>
    </row>
    <row r="98" spans="3:25" ht="12.75">
      <c r="C98" s="47">
        <v>88</v>
      </c>
      <c r="D98" s="861" t="s">
        <v>124</v>
      </c>
      <c r="E98" s="27">
        <f t="shared" si="7"/>
        <v>58</v>
      </c>
      <c r="F98" s="48">
        <f t="shared" si="7"/>
        <v>58</v>
      </c>
      <c r="G98" s="48"/>
      <c r="H98" s="43"/>
      <c r="I98" s="213">
        <f t="shared" si="8"/>
        <v>58</v>
      </c>
      <c r="J98" s="211">
        <v>58</v>
      </c>
      <c r="K98" s="211"/>
      <c r="L98" s="214"/>
      <c r="M98" s="213"/>
      <c r="N98" s="211"/>
      <c r="O98" s="211"/>
      <c r="P98" s="212"/>
      <c r="Q98" s="213"/>
      <c r="R98" s="211"/>
      <c r="S98" s="211"/>
      <c r="T98" s="214"/>
      <c r="U98" s="213"/>
      <c r="V98" s="211"/>
      <c r="W98" s="211"/>
      <c r="X98" s="214"/>
      <c r="Y98" s="9"/>
    </row>
    <row r="99" spans="3:25" ht="12.75">
      <c r="C99" s="47">
        <v>89</v>
      </c>
      <c r="D99" s="862" t="s">
        <v>125</v>
      </c>
      <c r="E99" s="27">
        <f t="shared" si="7"/>
        <v>8</v>
      </c>
      <c r="F99" s="48">
        <f t="shared" si="7"/>
        <v>8</v>
      </c>
      <c r="G99" s="48"/>
      <c r="H99" s="43"/>
      <c r="I99" s="213">
        <f t="shared" si="8"/>
        <v>8</v>
      </c>
      <c r="J99" s="211">
        <v>8</v>
      </c>
      <c r="K99" s="211"/>
      <c r="L99" s="214"/>
      <c r="M99" s="213"/>
      <c r="N99" s="211"/>
      <c r="O99" s="211"/>
      <c r="P99" s="212"/>
      <c r="Q99" s="213"/>
      <c r="R99" s="211"/>
      <c r="S99" s="211"/>
      <c r="T99" s="214"/>
      <c r="U99" s="213"/>
      <c r="V99" s="211"/>
      <c r="W99" s="211"/>
      <c r="X99" s="214"/>
      <c r="Y99" s="9"/>
    </row>
    <row r="100" spans="3:25" ht="12.75">
      <c r="C100" s="47">
        <v>90</v>
      </c>
      <c r="D100" s="866" t="s">
        <v>376</v>
      </c>
      <c r="E100" s="27">
        <f t="shared" si="7"/>
        <v>4</v>
      </c>
      <c r="F100" s="48">
        <f t="shared" si="7"/>
        <v>4</v>
      </c>
      <c r="G100" s="48"/>
      <c r="H100" s="43"/>
      <c r="I100" s="213">
        <f t="shared" si="8"/>
        <v>4</v>
      </c>
      <c r="J100" s="165">
        <v>4</v>
      </c>
      <c r="K100" s="211"/>
      <c r="L100" s="214"/>
      <c r="M100" s="213"/>
      <c r="N100" s="211"/>
      <c r="O100" s="211"/>
      <c r="P100" s="212"/>
      <c r="Q100" s="213"/>
      <c r="R100" s="211"/>
      <c r="S100" s="211"/>
      <c r="T100" s="214"/>
      <c r="U100" s="213"/>
      <c r="V100" s="211"/>
      <c r="W100" s="211"/>
      <c r="X100" s="214"/>
      <c r="Y100" s="9"/>
    </row>
    <row r="101" spans="3:25" ht="12.75">
      <c r="C101" s="238">
        <v>91</v>
      </c>
      <c r="D101" s="864" t="s">
        <v>301</v>
      </c>
      <c r="E101" s="221">
        <f t="shared" si="7"/>
        <v>17</v>
      </c>
      <c r="F101" s="222">
        <f t="shared" si="7"/>
        <v>17</v>
      </c>
      <c r="G101" s="222"/>
      <c r="H101" s="223"/>
      <c r="I101" s="164">
        <f t="shared" si="8"/>
        <v>17</v>
      </c>
      <c r="J101" s="165">
        <v>17</v>
      </c>
      <c r="K101" s="165"/>
      <c r="L101" s="224"/>
      <c r="M101" s="164"/>
      <c r="N101" s="165"/>
      <c r="O101" s="165"/>
      <c r="P101" s="223"/>
      <c r="Q101" s="164"/>
      <c r="R101" s="211"/>
      <c r="S101" s="211"/>
      <c r="T101" s="214"/>
      <c r="U101" s="213"/>
      <c r="V101" s="211"/>
      <c r="W101" s="211"/>
      <c r="X101" s="214"/>
      <c r="Y101" s="9"/>
    </row>
    <row r="102" spans="3:25" ht="12.75">
      <c r="C102" s="238">
        <v>92</v>
      </c>
      <c r="D102" s="864" t="s">
        <v>126</v>
      </c>
      <c r="E102" s="221">
        <f t="shared" si="7"/>
        <v>19</v>
      </c>
      <c r="F102" s="222">
        <f t="shared" si="7"/>
        <v>19</v>
      </c>
      <c r="G102" s="222"/>
      <c r="H102" s="223"/>
      <c r="I102" s="164">
        <f t="shared" si="8"/>
        <v>19</v>
      </c>
      <c r="J102" s="165">
        <v>19</v>
      </c>
      <c r="K102" s="165"/>
      <c r="L102" s="224"/>
      <c r="M102" s="164"/>
      <c r="N102" s="165"/>
      <c r="O102" s="165"/>
      <c r="P102" s="223"/>
      <c r="Q102" s="164"/>
      <c r="R102" s="211"/>
      <c r="S102" s="211"/>
      <c r="T102" s="214"/>
      <c r="U102" s="213"/>
      <c r="V102" s="211"/>
      <c r="W102" s="211"/>
      <c r="X102" s="214"/>
      <c r="Y102" s="9"/>
    </row>
    <row r="103" spans="3:25" ht="12.75">
      <c r="C103" s="238">
        <v>93</v>
      </c>
      <c r="D103" s="864" t="s">
        <v>375</v>
      </c>
      <c r="E103" s="221">
        <f t="shared" si="7"/>
        <v>3</v>
      </c>
      <c r="F103" s="222">
        <f t="shared" si="7"/>
        <v>3</v>
      </c>
      <c r="G103" s="222"/>
      <c r="H103" s="223"/>
      <c r="I103" s="164">
        <f t="shared" si="8"/>
        <v>3</v>
      </c>
      <c r="J103" s="165">
        <v>3</v>
      </c>
      <c r="K103" s="165"/>
      <c r="L103" s="224"/>
      <c r="M103" s="164"/>
      <c r="N103" s="165"/>
      <c r="O103" s="165"/>
      <c r="P103" s="223"/>
      <c r="Q103" s="164"/>
      <c r="R103" s="211"/>
      <c r="S103" s="211"/>
      <c r="T103" s="214"/>
      <c r="U103" s="213"/>
      <c r="V103" s="211"/>
      <c r="W103" s="211"/>
      <c r="X103" s="214"/>
      <c r="Y103" s="9"/>
    </row>
    <row r="104" spans="3:25" ht="12.75">
      <c r="C104" s="238">
        <v>94</v>
      </c>
      <c r="D104" s="864" t="s">
        <v>297</v>
      </c>
      <c r="E104" s="221">
        <f t="shared" si="7"/>
        <v>1</v>
      </c>
      <c r="F104" s="222">
        <f t="shared" si="7"/>
        <v>1</v>
      </c>
      <c r="G104" s="222"/>
      <c r="H104" s="223"/>
      <c r="I104" s="164">
        <f t="shared" si="8"/>
        <v>1</v>
      </c>
      <c r="J104" s="165">
        <v>1</v>
      </c>
      <c r="K104" s="165"/>
      <c r="L104" s="224"/>
      <c r="M104" s="164"/>
      <c r="N104" s="165"/>
      <c r="O104" s="165"/>
      <c r="P104" s="223"/>
      <c r="Q104" s="164"/>
      <c r="R104" s="211"/>
      <c r="S104" s="211"/>
      <c r="T104" s="214"/>
      <c r="U104" s="213"/>
      <c r="V104" s="211"/>
      <c r="W104" s="211"/>
      <c r="X104" s="214"/>
      <c r="Y104" s="9"/>
    </row>
    <row r="105" spans="3:25" ht="12.75">
      <c r="C105" s="238">
        <v>95</v>
      </c>
      <c r="D105" s="864" t="s">
        <v>298</v>
      </c>
      <c r="E105" s="221">
        <f t="shared" si="7"/>
        <v>7</v>
      </c>
      <c r="F105" s="222">
        <f t="shared" si="7"/>
        <v>7</v>
      </c>
      <c r="G105" s="222"/>
      <c r="H105" s="223"/>
      <c r="I105" s="164">
        <f t="shared" si="8"/>
        <v>7</v>
      </c>
      <c r="J105" s="165">
        <v>7</v>
      </c>
      <c r="K105" s="165"/>
      <c r="L105" s="224"/>
      <c r="M105" s="164"/>
      <c r="N105" s="165"/>
      <c r="O105" s="165"/>
      <c r="P105" s="223"/>
      <c r="Q105" s="164"/>
      <c r="R105" s="211"/>
      <c r="S105" s="211"/>
      <c r="T105" s="214"/>
      <c r="U105" s="213"/>
      <c r="V105" s="211"/>
      <c r="W105" s="211"/>
      <c r="X105" s="214"/>
      <c r="Y105" s="9"/>
    </row>
    <row r="106" spans="3:25" ht="12.75">
      <c r="C106" s="238">
        <v>96</v>
      </c>
      <c r="D106" s="872" t="s">
        <v>289</v>
      </c>
      <c r="E106" s="221">
        <f t="shared" si="7"/>
        <v>1.5</v>
      </c>
      <c r="F106" s="222">
        <f t="shared" si="7"/>
        <v>1.5</v>
      </c>
      <c r="G106" s="222"/>
      <c r="H106" s="223"/>
      <c r="I106" s="164">
        <f t="shared" si="8"/>
        <v>1.5</v>
      </c>
      <c r="J106" s="165">
        <v>1.5</v>
      </c>
      <c r="K106" s="165"/>
      <c r="L106" s="224"/>
      <c r="M106" s="164"/>
      <c r="N106" s="165"/>
      <c r="O106" s="165"/>
      <c r="P106" s="223"/>
      <c r="Q106" s="164"/>
      <c r="R106" s="211"/>
      <c r="S106" s="211"/>
      <c r="T106" s="214"/>
      <c r="U106" s="213"/>
      <c r="V106" s="211"/>
      <c r="W106" s="211"/>
      <c r="X106" s="214"/>
      <c r="Y106" s="9"/>
    </row>
    <row r="107" spans="3:25" ht="12.75">
      <c r="C107" s="238">
        <v>97</v>
      </c>
      <c r="D107" s="857" t="s">
        <v>32</v>
      </c>
      <c r="E107" s="233">
        <f t="shared" si="7"/>
        <v>1087.096</v>
      </c>
      <c r="F107" s="235">
        <f t="shared" si="7"/>
        <v>1007.096</v>
      </c>
      <c r="G107" s="163">
        <f>K107+O107+S107+W107</f>
        <v>942.157</v>
      </c>
      <c r="H107" s="232">
        <f>L107+P107+T107+X107</f>
        <v>80</v>
      </c>
      <c r="I107" s="54">
        <f>J107+L107</f>
        <v>126.896</v>
      </c>
      <c r="J107" s="163">
        <v>46.896</v>
      </c>
      <c r="K107" s="163">
        <v>46.225</v>
      </c>
      <c r="L107" s="15">
        <v>80</v>
      </c>
      <c r="M107" s="54">
        <f>N107+P107</f>
        <v>960.2</v>
      </c>
      <c r="N107" s="163">
        <v>960.2</v>
      </c>
      <c r="O107" s="163">
        <v>895.932</v>
      </c>
      <c r="P107" s="232"/>
      <c r="Q107" s="54"/>
      <c r="R107" s="16"/>
      <c r="S107" s="16"/>
      <c r="T107" s="11"/>
      <c r="U107" s="215"/>
      <c r="V107" s="16"/>
      <c r="W107" s="16"/>
      <c r="X107" s="11"/>
      <c r="Y107" s="9"/>
    </row>
    <row r="108" spans="3:25" ht="12.75">
      <c r="C108" s="238">
        <v>98</v>
      </c>
      <c r="D108" s="575" t="s">
        <v>312</v>
      </c>
      <c r="E108" s="221">
        <f t="shared" si="7"/>
        <v>80</v>
      </c>
      <c r="F108" s="222"/>
      <c r="G108" s="165"/>
      <c r="H108" s="223">
        <f>L108+P108+T108+X108</f>
        <v>80</v>
      </c>
      <c r="I108" s="164">
        <f>J108+L108</f>
        <v>80</v>
      </c>
      <c r="J108" s="165"/>
      <c r="K108" s="163"/>
      <c r="L108" s="224">
        <v>80</v>
      </c>
      <c r="M108" s="54"/>
      <c r="N108" s="163"/>
      <c r="O108" s="163"/>
      <c r="P108" s="232"/>
      <c r="Q108" s="54"/>
      <c r="R108" s="16"/>
      <c r="S108" s="16"/>
      <c r="T108" s="11"/>
      <c r="U108" s="215"/>
      <c r="V108" s="16"/>
      <c r="W108" s="16"/>
      <c r="X108" s="11"/>
      <c r="Y108" s="9"/>
    </row>
    <row r="109" spans="3:24" s="9" customFormat="1" ht="12.75">
      <c r="C109" s="238">
        <v>99</v>
      </c>
      <c r="D109" s="857" t="s">
        <v>37</v>
      </c>
      <c r="E109" s="233">
        <f t="shared" si="7"/>
        <v>429.14799999999997</v>
      </c>
      <c r="F109" s="235">
        <f t="shared" si="7"/>
        <v>419.14799999999997</v>
      </c>
      <c r="G109" s="163">
        <f>K109+O109+S109+W109</f>
        <v>342.118</v>
      </c>
      <c r="H109" s="232">
        <f>L109+P109+T109+X109</f>
        <v>10</v>
      </c>
      <c r="I109" s="54">
        <f t="shared" si="8"/>
        <v>369.14799999999997</v>
      </c>
      <c r="J109" s="163">
        <f>371.948-2.8</f>
        <v>369.14799999999997</v>
      </c>
      <c r="K109" s="163">
        <v>334.384</v>
      </c>
      <c r="L109" s="15"/>
      <c r="M109" s="54"/>
      <c r="N109" s="163"/>
      <c r="O109" s="163"/>
      <c r="P109" s="232"/>
      <c r="Q109" s="54"/>
      <c r="R109" s="16"/>
      <c r="S109" s="16"/>
      <c r="T109" s="11"/>
      <c r="U109" s="215">
        <f aca="true" t="shared" si="9" ref="U109:U132">V109+X109</f>
        <v>60</v>
      </c>
      <c r="V109" s="16">
        <v>50</v>
      </c>
      <c r="W109" s="16">
        <v>7.734</v>
      </c>
      <c r="X109" s="11">
        <v>10</v>
      </c>
    </row>
    <row r="110" spans="3:25" ht="12.75">
      <c r="C110" s="238">
        <v>100</v>
      </c>
      <c r="D110" s="575" t="s">
        <v>154</v>
      </c>
      <c r="E110" s="221">
        <f t="shared" si="7"/>
        <v>3</v>
      </c>
      <c r="F110" s="222">
        <f t="shared" si="7"/>
        <v>3</v>
      </c>
      <c r="G110" s="165"/>
      <c r="H110" s="223"/>
      <c r="I110" s="164">
        <f t="shared" si="8"/>
        <v>3</v>
      </c>
      <c r="J110" s="165">
        <v>3</v>
      </c>
      <c r="K110" s="163"/>
      <c r="L110" s="15"/>
      <c r="M110" s="54"/>
      <c r="N110" s="163"/>
      <c r="O110" s="163"/>
      <c r="P110" s="232"/>
      <c r="Q110" s="54"/>
      <c r="R110" s="16"/>
      <c r="S110" s="16"/>
      <c r="T110" s="11"/>
      <c r="U110" s="215"/>
      <c r="V110" s="16"/>
      <c r="W110" s="16"/>
      <c r="X110" s="11"/>
      <c r="Y110" s="9"/>
    </row>
    <row r="111" spans="3:25" ht="12.75">
      <c r="C111" s="238">
        <v>101</v>
      </c>
      <c r="D111" s="857" t="s">
        <v>38</v>
      </c>
      <c r="E111" s="233">
        <f t="shared" si="7"/>
        <v>561.614</v>
      </c>
      <c r="F111" s="235">
        <f t="shared" si="7"/>
        <v>549.514</v>
      </c>
      <c r="G111" s="163">
        <f>K111+O111+S111+W111</f>
        <v>429.442</v>
      </c>
      <c r="H111" s="232">
        <f>L111++P111+T111+X111</f>
        <v>12.1</v>
      </c>
      <c r="I111" s="54">
        <f t="shared" si="8"/>
        <v>501.814</v>
      </c>
      <c r="J111" s="163">
        <f>508.714-6.9</f>
        <v>501.814</v>
      </c>
      <c r="K111" s="163">
        <v>429.442</v>
      </c>
      <c r="L111" s="15"/>
      <c r="M111" s="164"/>
      <c r="N111" s="165"/>
      <c r="O111" s="165"/>
      <c r="P111" s="223"/>
      <c r="Q111" s="54"/>
      <c r="R111" s="211"/>
      <c r="S111" s="211"/>
      <c r="T111" s="214"/>
      <c r="U111" s="215">
        <f t="shared" si="9"/>
        <v>59.800000000000004</v>
      </c>
      <c r="V111" s="16">
        <v>47.7</v>
      </c>
      <c r="W111" s="16"/>
      <c r="X111" s="11">
        <v>12.1</v>
      </c>
      <c r="Y111" s="9"/>
    </row>
    <row r="112" spans="3:25" ht="12.75">
      <c r="C112" s="238">
        <v>102</v>
      </c>
      <c r="D112" s="873" t="s">
        <v>155</v>
      </c>
      <c r="E112" s="221">
        <f t="shared" si="7"/>
        <v>3</v>
      </c>
      <c r="F112" s="222">
        <f t="shared" si="7"/>
        <v>3</v>
      </c>
      <c r="G112" s="165"/>
      <c r="H112" s="223"/>
      <c r="I112" s="164">
        <f t="shared" si="8"/>
        <v>3</v>
      </c>
      <c r="J112" s="165">
        <v>3</v>
      </c>
      <c r="K112" s="163"/>
      <c r="L112" s="15"/>
      <c r="M112" s="164"/>
      <c r="N112" s="165"/>
      <c r="O112" s="165"/>
      <c r="P112" s="223"/>
      <c r="Q112" s="54"/>
      <c r="R112" s="211"/>
      <c r="S112" s="211"/>
      <c r="T112" s="214"/>
      <c r="U112" s="215"/>
      <c r="V112" s="16"/>
      <c r="W112" s="16"/>
      <c r="X112" s="11"/>
      <c r="Y112" s="9"/>
    </row>
    <row r="113" spans="3:25" ht="12.75">
      <c r="C113" s="238">
        <v>103</v>
      </c>
      <c r="D113" s="873" t="s">
        <v>293</v>
      </c>
      <c r="E113" s="221">
        <f t="shared" si="7"/>
        <v>8</v>
      </c>
      <c r="F113" s="222">
        <f t="shared" si="7"/>
        <v>8</v>
      </c>
      <c r="G113" s="165"/>
      <c r="H113" s="223"/>
      <c r="I113" s="164">
        <f t="shared" si="8"/>
        <v>8</v>
      </c>
      <c r="J113" s="165">
        <v>8</v>
      </c>
      <c r="K113" s="163"/>
      <c r="L113" s="15"/>
      <c r="M113" s="164"/>
      <c r="N113" s="165"/>
      <c r="O113" s="165"/>
      <c r="P113" s="223"/>
      <c r="Q113" s="54"/>
      <c r="R113" s="211"/>
      <c r="S113" s="211"/>
      <c r="T113" s="214"/>
      <c r="U113" s="215"/>
      <c r="V113" s="16"/>
      <c r="W113" s="16"/>
      <c r="X113" s="11"/>
      <c r="Y113" s="9"/>
    </row>
    <row r="114" spans="3:25" ht="26.25" customHeight="1">
      <c r="C114" s="238">
        <v>104</v>
      </c>
      <c r="D114" s="874" t="s">
        <v>667</v>
      </c>
      <c r="E114" s="221">
        <f t="shared" si="7"/>
        <v>2.5</v>
      </c>
      <c r="F114" s="222">
        <f t="shared" si="7"/>
        <v>2.5</v>
      </c>
      <c r="G114" s="165"/>
      <c r="H114" s="223"/>
      <c r="I114" s="164">
        <f t="shared" si="8"/>
        <v>2.5</v>
      </c>
      <c r="J114" s="165">
        <v>2.5</v>
      </c>
      <c r="K114" s="163"/>
      <c r="L114" s="15"/>
      <c r="M114" s="164"/>
      <c r="N114" s="165"/>
      <c r="O114" s="165"/>
      <c r="P114" s="223"/>
      <c r="Q114" s="54"/>
      <c r="R114" s="211"/>
      <c r="S114" s="211"/>
      <c r="T114" s="214"/>
      <c r="U114" s="215"/>
      <c r="V114" s="16"/>
      <c r="W114" s="16"/>
      <c r="X114" s="11"/>
      <c r="Y114" s="9"/>
    </row>
    <row r="115" spans="3:25" ht="12.75">
      <c r="C115" s="238">
        <v>105</v>
      </c>
      <c r="D115" s="875" t="s">
        <v>84</v>
      </c>
      <c r="E115" s="233">
        <f t="shared" si="7"/>
        <v>797.0469999999999</v>
      </c>
      <c r="F115" s="235">
        <f t="shared" si="7"/>
        <v>797.0469999999999</v>
      </c>
      <c r="G115" s="163">
        <f>K115+O115+S115+W115</f>
        <v>718.71</v>
      </c>
      <c r="H115" s="232"/>
      <c r="I115" s="54">
        <f t="shared" si="8"/>
        <v>793.247</v>
      </c>
      <c r="J115" s="163">
        <f>794.747-1.5</f>
        <v>793.247</v>
      </c>
      <c r="K115" s="163">
        <v>718.71</v>
      </c>
      <c r="L115" s="15"/>
      <c r="M115" s="164"/>
      <c r="N115" s="165"/>
      <c r="O115" s="165"/>
      <c r="P115" s="223"/>
      <c r="Q115" s="54"/>
      <c r="R115" s="16"/>
      <c r="S115" s="16"/>
      <c r="T115" s="214"/>
      <c r="U115" s="215">
        <f t="shared" si="9"/>
        <v>3.8</v>
      </c>
      <c r="V115" s="16">
        <v>3.8</v>
      </c>
      <c r="W115" s="16"/>
      <c r="X115" s="11"/>
      <c r="Y115" s="9"/>
    </row>
    <row r="116" spans="3:25" ht="12.75">
      <c r="C116" s="238">
        <v>106</v>
      </c>
      <c r="D116" s="876" t="s">
        <v>157</v>
      </c>
      <c r="E116" s="853">
        <f t="shared" si="7"/>
        <v>408.83900000000006</v>
      </c>
      <c r="F116" s="776">
        <f t="shared" si="7"/>
        <v>403.83900000000006</v>
      </c>
      <c r="G116" s="777">
        <f>K116+O116+S116+W116</f>
        <v>313.03900000000004</v>
      </c>
      <c r="H116" s="777">
        <f>L116+P116+T116+X116</f>
        <v>5</v>
      </c>
      <c r="I116" s="775">
        <f>J116+L116</f>
        <v>371.97700000000003</v>
      </c>
      <c r="J116" s="777">
        <f>371.177-2.2</f>
        <v>368.97700000000003</v>
      </c>
      <c r="K116" s="777">
        <f>296.432-0.8</f>
        <v>295.632</v>
      </c>
      <c r="L116" s="778">
        <v>3</v>
      </c>
      <c r="M116" s="322">
        <f>N116+P116</f>
        <v>2.362</v>
      </c>
      <c r="N116" s="777">
        <v>2.362</v>
      </c>
      <c r="O116" s="777"/>
      <c r="P116" s="771"/>
      <c r="Q116" s="775">
        <f>+R116</f>
        <v>13.5</v>
      </c>
      <c r="R116" s="777">
        <v>13.5</v>
      </c>
      <c r="S116" s="777">
        <v>13.307</v>
      </c>
      <c r="T116" s="774"/>
      <c r="U116" s="775">
        <f t="shared" si="9"/>
        <v>21</v>
      </c>
      <c r="V116" s="777">
        <v>19</v>
      </c>
      <c r="W116" s="777">
        <v>4.1</v>
      </c>
      <c r="X116" s="778">
        <v>2</v>
      </c>
      <c r="Y116" s="9"/>
    </row>
    <row r="117" spans="3:25" ht="12.75">
      <c r="C117" s="238">
        <v>107</v>
      </c>
      <c r="D117" s="877" t="s">
        <v>158</v>
      </c>
      <c r="E117" s="769">
        <f t="shared" si="7"/>
        <v>11</v>
      </c>
      <c r="F117" s="779">
        <f t="shared" si="7"/>
        <v>11</v>
      </c>
      <c r="G117" s="777"/>
      <c r="H117" s="780"/>
      <c r="I117" s="768">
        <f t="shared" si="8"/>
        <v>11</v>
      </c>
      <c r="J117" s="770">
        <v>11</v>
      </c>
      <c r="K117" s="777"/>
      <c r="L117" s="778"/>
      <c r="M117" s="768"/>
      <c r="N117" s="770"/>
      <c r="O117" s="770"/>
      <c r="P117" s="771"/>
      <c r="Q117" s="775"/>
      <c r="R117" s="770"/>
      <c r="S117" s="770"/>
      <c r="T117" s="774"/>
      <c r="U117" s="775"/>
      <c r="V117" s="777"/>
      <c r="W117" s="777"/>
      <c r="X117" s="778"/>
      <c r="Y117" s="9"/>
    </row>
    <row r="118" spans="3:25" ht="12.75">
      <c r="C118" s="238">
        <v>108</v>
      </c>
      <c r="D118" s="878" t="s">
        <v>72</v>
      </c>
      <c r="E118" s="233">
        <f>I118+M118+Q118+U118</f>
        <v>1132.375</v>
      </c>
      <c r="F118" s="235">
        <f>J118+N118+R118+V118</f>
        <v>1132.375</v>
      </c>
      <c r="G118" s="163">
        <f>K118+O118+S118+W118</f>
        <v>942.7080000000001</v>
      </c>
      <c r="H118" s="232"/>
      <c r="I118" s="215">
        <f t="shared" si="8"/>
        <v>654.875</v>
      </c>
      <c r="J118" s="16">
        <f>664.075-9.2</f>
        <v>654.875</v>
      </c>
      <c r="K118" s="16">
        <f>586.57-3.5</f>
        <v>583.07</v>
      </c>
      <c r="L118" s="11"/>
      <c r="M118" s="215">
        <f>N118+P118</f>
        <v>402.5</v>
      </c>
      <c r="N118" s="16">
        <f>319.2+83.3</f>
        <v>402.5</v>
      </c>
      <c r="O118" s="16">
        <v>314.638</v>
      </c>
      <c r="P118" s="212"/>
      <c r="Q118" s="215"/>
      <c r="R118" s="211"/>
      <c r="S118" s="211"/>
      <c r="T118" s="214"/>
      <c r="U118" s="215">
        <f t="shared" si="9"/>
        <v>75</v>
      </c>
      <c r="V118" s="16">
        <v>75</v>
      </c>
      <c r="W118" s="16">
        <v>45</v>
      </c>
      <c r="X118" s="11"/>
      <c r="Y118" s="9"/>
    </row>
    <row r="119" spans="3:25" ht="12.75">
      <c r="C119" s="47">
        <v>109</v>
      </c>
      <c r="D119" s="50" t="s">
        <v>41</v>
      </c>
      <c r="E119" s="233">
        <f aca="true" t="shared" si="10" ref="E119:H133">I119+M119+Q119+U119</f>
        <v>576.937</v>
      </c>
      <c r="F119" s="235">
        <f t="shared" si="10"/>
        <v>576.937</v>
      </c>
      <c r="G119" s="163">
        <f>K119+O119+S119+W119</f>
        <v>399.545</v>
      </c>
      <c r="H119" s="232"/>
      <c r="I119" s="215">
        <f t="shared" si="8"/>
        <v>18.337</v>
      </c>
      <c r="J119" s="16">
        <v>18.337</v>
      </c>
      <c r="K119" s="16">
        <v>13.145</v>
      </c>
      <c r="L119" s="11"/>
      <c r="M119" s="215">
        <f>N119+P119</f>
        <v>252.8</v>
      </c>
      <c r="N119" s="16">
        <v>252.8</v>
      </c>
      <c r="O119" s="16">
        <v>174.8</v>
      </c>
      <c r="P119" s="212"/>
      <c r="Q119" s="215"/>
      <c r="R119" s="211"/>
      <c r="S119" s="211"/>
      <c r="T119" s="214"/>
      <c r="U119" s="215">
        <f t="shared" si="9"/>
        <v>305.8</v>
      </c>
      <c r="V119" s="16">
        <v>305.8</v>
      </c>
      <c r="W119" s="16">
        <v>211.6</v>
      </c>
      <c r="X119" s="214"/>
      <c r="Y119" s="9"/>
    </row>
    <row r="120" spans="3:25" ht="12.75">
      <c r="C120" s="47">
        <v>110</v>
      </c>
      <c r="D120" s="544" t="s">
        <v>161</v>
      </c>
      <c r="E120" s="221">
        <f t="shared" si="10"/>
        <v>304.437</v>
      </c>
      <c r="F120" s="222">
        <f t="shared" si="10"/>
        <v>304.437</v>
      </c>
      <c r="G120" s="165">
        <f>K120+O120+S120+W120</f>
        <v>251.645</v>
      </c>
      <c r="H120" s="232"/>
      <c r="I120" s="213">
        <f t="shared" si="8"/>
        <v>18.337</v>
      </c>
      <c r="J120" s="211">
        <v>18.337</v>
      </c>
      <c r="K120" s="211">
        <v>13.145</v>
      </c>
      <c r="L120" s="11"/>
      <c r="M120" s="213">
        <f>N120+P120</f>
        <v>129.6</v>
      </c>
      <c r="N120" s="211">
        <v>129.6</v>
      </c>
      <c r="O120" s="211">
        <v>107.7</v>
      </c>
      <c r="P120" s="212"/>
      <c r="Q120" s="213"/>
      <c r="R120" s="211"/>
      <c r="S120" s="211"/>
      <c r="T120" s="214"/>
      <c r="U120" s="213">
        <f t="shared" si="9"/>
        <v>156.5</v>
      </c>
      <c r="V120" s="211">
        <v>156.5</v>
      </c>
      <c r="W120" s="211">
        <v>130.8</v>
      </c>
      <c r="X120" s="11"/>
      <c r="Y120" s="9"/>
    </row>
    <row r="121" spans="3:25" ht="25.5">
      <c r="C121" s="47">
        <v>11</v>
      </c>
      <c r="D121" s="50" t="s">
        <v>79</v>
      </c>
      <c r="E121" s="233">
        <f t="shared" si="10"/>
        <v>88.71799999999999</v>
      </c>
      <c r="F121" s="235">
        <f t="shared" si="10"/>
        <v>88.71799999999999</v>
      </c>
      <c r="G121" s="163">
        <f>K121+O121+S121+W121</f>
        <v>68.483</v>
      </c>
      <c r="H121" s="232"/>
      <c r="I121" s="215">
        <f aca="true" t="shared" si="11" ref="I121:I132">J121+L121</f>
        <v>70.618</v>
      </c>
      <c r="J121" s="16">
        <f>71.018-0.4</f>
        <v>70.618</v>
      </c>
      <c r="K121" s="16">
        <v>66.483</v>
      </c>
      <c r="L121" s="11"/>
      <c r="M121" s="215"/>
      <c r="N121" s="16"/>
      <c r="O121" s="16"/>
      <c r="P121" s="212"/>
      <c r="Q121" s="213"/>
      <c r="R121" s="211"/>
      <c r="S121" s="211"/>
      <c r="T121" s="214"/>
      <c r="U121" s="215">
        <f t="shared" si="9"/>
        <v>18.1</v>
      </c>
      <c r="V121" s="16">
        <v>18.1</v>
      </c>
      <c r="W121" s="16">
        <v>2</v>
      </c>
      <c r="X121" s="11"/>
      <c r="Y121" s="9"/>
    </row>
    <row r="122" spans="3:25" ht="12.75">
      <c r="C122" s="47">
        <v>112</v>
      </c>
      <c r="D122" s="50" t="s">
        <v>311</v>
      </c>
      <c r="E122" s="233">
        <f t="shared" si="10"/>
        <v>371.72</v>
      </c>
      <c r="F122" s="235">
        <f t="shared" si="10"/>
        <v>371.72</v>
      </c>
      <c r="G122" s="163">
        <f>K122+O122+S122+W122</f>
        <v>207.47</v>
      </c>
      <c r="H122" s="232"/>
      <c r="I122" s="54">
        <f t="shared" si="11"/>
        <v>186.72</v>
      </c>
      <c r="J122" s="163">
        <f>187.32-0.6</f>
        <v>186.72</v>
      </c>
      <c r="K122" s="163">
        <v>148.924</v>
      </c>
      <c r="L122" s="11"/>
      <c r="M122" s="215"/>
      <c r="N122" s="16"/>
      <c r="O122" s="16"/>
      <c r="P122" s="212"/>
      <c r="Q122" s="213"/>
      <c r="R122" s="211"/>
      <c r="S122" s="211"/>
      <c r="T122" s="214"/>
      <c r="U122" s="215">
        <f t="shared" si="9"/>
        <v>185</v>
      </c>
      <c r="V122" s="16">
        <v>185</v>
      </c>
      <c r="W122" s="16">
        <v>58.546</v>
      </c>
      <c r="X122" s="11"/>
      <c r="Y122" s="9"/>
    </row>
    <row r="123" spans="3:25" ht="12.75">
      <c r="C123" s="47">
        <v>113</v>
      </c>
      <c r="D123" s="35" t="s">
        <v>42</v>
      </c>
      <c r="E123" s="233">
        <f t="shared" si="10"/>
        <v>242.73499999999999</v>
      </c>
      <c r="F123" s="235">
        <f t="shared" si="10"/>
        <v>242.73499999999999</v>
      </c>
      <c r="G123" s="542">
        <f t="shared" si="10"/>
        <v>143.98100000000002</v>
      </c>
      <c r="H123" s="232"/>
      <c r="I123" s="54">
        <f>+J123+L123</f>
        <v>201.935</v>
      </c>
      <c r="J123" s="542">
        <f>204.635-2.7</f>
        <v>201.935</v>
      </c>
      <c r="K123" s="542">
        <f>132.121-0.1</f>
        <v>132.02100000000002</v>
      </c>
      <c r="L123" s="11"/>
      <c r="M123" s="215">
        <f aca="true" t="shared" si="12" ref="M123:M132">N123+P123</f>
        <v>40.1</v>
      </c>
      <c r="N123" s="16">
        <v>40.1</v>
      </c>
      <c r="O123" s="16">
        <v>11.96</v>
      </c>
      <c r="P123" s="212"/>
      <c r="Q123" s="213"/>
      <c r="R123" s="211"/>
      <c r="S123" s="211"/>
      <c r="T123" s="214"/>
      <c r="U123" s="215">
        <f t="shared" si="9"/>
        <v>0.7</v>
      </c>
      <c r="V123" s="16">
        <v>0.7</v>
      </c>
      <c r="W123" s="16"/>
      <c r="X123" s="11"/>
      <c r="Y123" s="9"/>
    </row>
    <row r="124" spans="3:25" ht="12.75">
      <c r="C124" s="47">
        <v>114</v>
      </c>
      <c r="D124" s="35" t="s">
        <v>43</v>
      </c>
      <c r="E124" s="233">
        <f t="shared" si="10"/>
        <v>220.458</v>
      </c>
      <c r="F124" s="235">
        <f t="shared" si="10"/>
        <v>220.458</v>
      </c>
      <c r="G124" s="542">
        <f t="shared" si="10"/>
        <v>173.27</v>
      </c>
      <c r="H124" s="232"/>
      <c r="I124" s="54">
        <f t="shared" si="11"/>
        <v>194.44</v>
      </c>
      <c r="J124" s="542">
        <f>195.24-0.8</f>
        <v>194.44</v>
      </c>
      <c r="K124" s="542">
        <f>161.34-0.4</f>
        <v>160.94</v>
      </c>
      <c r="L124" s="11"/>
      <c r="M124" s="215">
        <f t="shared" si="12"/>
        <v>24.418</v>
      </c>
      <c r="N124" s="16">
        <v>24.418</v>
      </c>
      <c r="O124" s="16">
        <v>12.33</v>
      </c>
      <c r="P124" s="212"/>
      <c r="Q124" s="215"/>
      <c r="R124" s="16"/>
      <c r="S124" s="211"/>
      <c r="T124" s="214"/>
      <c r="U124" s="215">
        <f t="shared" si="9"/>
        <v>1.6</v>
      </c>
      <c r="V124" s="16">
        <v>1.6</v>
      </c>
      <c r="W124" s="16"/>
      <c r="X124" s="11"/>
      <c r="Y124" s="9"/>
    </row>
    <row r="125" spans="3:25" ht="12.75">
      <c r="C125" s="47">
        <v>115</v>
      </c>
      <c r="D125" s="35" t="s">
        <v>44</v>
      </c>
      <c r="E125" s="233">
        <f t="shared" si="10"/>
        <v>279.16700000000003</v>
      </c>
      <c r="F125" s="235">
        <f t="shared" si="10"/>
        <v>279.16700000000003</v>
      </c>
      <c r="G125" s="542">
        <f t="shared" si="10"/>
        <v>204.512</v>
      </c>
      <c r="H125" s="232"/>
      <c r="I125" s="54">
        <f t="shared" si="11"/>
        <v>248.001</v>
      </c>
      <c r="J125" s="542">
        <f>251.001-3</f>
        <v>248.001</v>
      </c>
      <c r="K125" s="542">
        <f>192.152-1.2</f>
        <v>190.952</v>
      </c>
      <c r="L125" s="11"/>
      <c r="M125" s="215">
        <f t="shared" si="12"/>
        <v>27.166</v>
      </c>
      <c r="N125" s="16">
        <v>27.166</v>
      </c>
      <c r="O125" s="16">
        <v>13.56</v>
      </c>
      <c r="P125" s="212"/>
      <c r="Q125" s="213"/>
      <c r="R125" s="211"/>
      <c r="S125" s="211"/>
      <c r="T125" s="214"/>
      <c r="U125" s="215">
        <f t="shared" si="9"/>
        <v>4</v>
      </c>
      <c r="V125" s="16">
        <v>4</v>
      </c>
      <c r="W125" s="16"/>
      <c r="X125" s="11"/>
      <c r="Y125" s="9"/>
    </row>
    <row r="126" spans="3:25" ht="12.75">
      <c r="C126" s="47">
        <v>116</v>
      </c>
      <c r="D126" s="35" t="s">
        <v>45</v>
      </c>
      <c r="E126" s="233">
        <f t="shared" si="10"/>
        <v>114.807</v>
      </c>
      <c r="F126" s="235">
        <f t="shared" si="10"/>
        <v>114.807</v>
      </c>
      <c r="G126" s="542">
        <f t="shared" si="10"/>
        <v>96.238</v>
      </c>
      <c r="H126" s="232"/>
      <c r="I126" s="54">
        <f t="shared" si="11"/>
        <v>109.027</v>
      </c>
      <c r="J126" s="542">
        <f>110.627-1.6</f>
        <v>109.027</v>
      </c>
      <c r="K126" s="542">
        <f>97.238-1</f>
        <v>96.238</v>
      </c>
      <c r="L126" s="11"/>
      <c r="M126" s="215">
        <f t="shared" si="12"/>
        <v>5.58</v>
      </c>
      <c r="N126" s="16">
        <v>5.58</v>
      </c>
      <c r="O126" s="16"/>
      <c r="P126" s="212"/>
      <c r="Q126" s="213"/>
      <c r="R126" s="211"/>
      <c r="S126" s="211"/>
      <c r="T126" s="214"/>
      <c r="U126" s="215">
        <f t="shared" si="9"/>
        <v>0.2</v>
      </c>
      <c r="V126" s="16">
        <v>0.2</v>
      </c>
      <c r="W126" s="16"/>
      <c r="X126" s="11"/>
      <c r="Y126" s="9"/>
    </row>
    <row r="127" spans="3:25" ht="12" customHeight="1">
      <c r="C127" s="47">
        <v>117</v>
      </c>
      <c r="D127" s="35" t="s">
        <v>46</v>
      </c>
      <c r="E127" s="233">
        <f t="shared" si="10"/>
        <v>164.403</v>
      </c>
      <c r="F127" s="235">
        <f t="shared" si="10"/>
        <v>164.403</v>
      </c>
      <c r="G127" s="542">
        <f t="shared" si="10"/>
        <v>130.797</v>
      </c>
      <c r="H127" s="232"/>
      <c r="I127" s="54">
        <f t="shared" si="11"/>
        <v>142.48499999999999</v>
      </c>
      <c r="J127" s="542">
        <f>142.885-0.4</f>
        <v>142.48499999999999</v>
      </c>
      <c r="K127" s="542">
        <v>121.797</v>
      </c>
      <c r="L127" s="11"/>
      <c r="M127" s="215">
        <f t="shared" si="12"/>
        <v>17.918</v>
      </c>
      <c r="N127" s="16">
        <v>17.918</v>
      </c>
      <c r="O127" s="16">
        <v>9</v>
      </c>
      <c r="P127" s="212"/>
      <c r="Q127" s="213"/>
      <c r="R127" s="211"/>
      <c r="S127" s="211"/>
      <c r="T127" s="214"/>
      <c r="U127" s="215">
        <f t="shared" si="9"/>
        <v>4</v>
      </c>
      <c r="V127" s="16">
        <v>4</v>
      </c>
      <c r="W127" s="16"/>
      <c r="X127" s="11"/>
      <c r="Y127" s="9"/>
    </row>
    <row r="128" spans="3:25" ht="12.75">
      <c r="C128" s="238">
        <v>118</v>
      </c>
      <c r="D128" s="879" t="s">
        <v>47</v>
      </c>
      <c r="E128" s="233">
        <f t="shared" si="10"/>
        <v>284.85699999999997</v>
      </c>
      <c r="F128" s="235">
        <f t="shared" si="10"/>
        <v>284.85699999999997</v>
      </c>
      <c r="G128" s="542">
        <f t="shared" si="10"/>
        <v>205.72299999999998</v>
      </c>
      <c r="H128" s="232"/>
      <c r="I128" s="54">
        <f t="shared" si="11"/>
        <v>261.853</v>
      </c>
      <c r="J128" s="542">
        <f>262.253-0.4</f>
        <v>261.853</v>
      </c>
      <c r="K128" s="542">
        <f>206.023-0.3</f>
        <v>205.72299999999998</v>
      </c>
      <c r="L128" s="11"/>
      <c r="M128" s="215">
        <f t="shared" si="12"/>
        <v>21.804</v>
      </c>
      <c r="N128" s="16">
        <v>21.804</v>
      </c>
      <c r="O128" s="16"/>
      <c r="P128" s="212"/>
      <c r="Q128" s="213"/>
      <c r="R128" s="211"/>
      <c r="S128" s="211"/>
      <c r="T128" s="214"/>
      <c r="U128" s="215">
        <f t="shared" si="9"/>
        <v>1.2</v>
      </c>
      <c r="V128" s="16">
        <v>1.2</v>
      </c>
      <c r="W128" s="16"/>
      <c r="X128" s="11"/>
      <c r="Y128" s="9"/>
    </row>
    <row r="129" spans="3:25" ht="12.75">
      <c r="C129" s="238">
        <v>119</v>
      </c>
      <c r="D129" s="857" t="s">
        <v>162</v>
      </c>
      <c r="E129" s="233">
        <f t="shared" si="10"/>
        <v>239.497</v>
      </c>
      <c r="F129" s="235">
        <f t="shared" si="10"/>
        <v>239.497</v>
      </c>
      <c r="G129" s="542">
        <f t="shared" si="10"/>
        <v>173.80499999999998</v>
      </c>
      <c r="H129" s="232"/>
      <c r="I129" s="54">
        <f t="shared" si="11"/>
        <v>204.733</v>
      </c>
      <c r="J129" s="542">
        <v>204.733</v>
      </c>
      <c r="K129" s="542">
        <v>160.855</v>
      </c>
      <c r="L129" s="11"/>
      <c r="M129" s="215">
        <f t="shared" si="12"/>
        <v>33.934</v>
      </c>
      <c r="N129" s="16">
        <v>33.934</v>
      </c>
      <c r="O129" s="16">
        <v>12.95</v>
      </c>
      <c r="P129" s="212"/>
      <c r="Q129" s="215"/>
      <c r="R129" s="16"/>
      <c r="S129" s="16"/>
      <c r="T129" s="214"/>
      <c r="U129" s="215">
        <f t="shared" si="9"/>
        <v>0.83</v>
      </c>
      <c r="V129" s="16">
        <v>0.83</v>
      </c>
      <c r="W129" s="16"/>
      <c r="X129" s="11"/>
      <c r="Y129" s="9"/>
    </row>
    <row r="130" spans="3:25" ht="12.75">
      <c r="C130" s="238">
        <v>120</v>
      </c>
      <c r="D130" s="857" t="s">
        <v>49</v>
      </c>
      <c r="E130" s="233">
        <f t="shared" si="10"/>
        <v>126.95299999999999</v>
      </c>
      <c r="F130" s="235">
        <f t="shared" si="10"/>
        <v>126.95299999999999</v>
      </c>
      <c r="G130" s="542">
        <f t="shared" si="10"/>
        <v>103.864</v>
      </c>
      <c r="H130" s="232"/>
      <c r="I130" s="54">
        <f t="shared" si="11"/>
        <v>109.681</v>
      </c>
      <c r="J130" s="542">
        <f>109.881-0.2</f>
        <v>109.681</v>
      </c>
      <c r="K130" s="542">
        <f>94.944-0.1</f>
        <v>94.84400000000001</v>
      </c>
      <c r="L130" s="11"/>
      <c r="M130" s="215">
        <f t="shared" si="12"/>
        <v>16.972</v>
      </c>
      <c r="N130" s="16">
        <v>16.972</v>
      </c>
      <c r="O130" s="16">
        <v>9.02</v>
      </c>
      <c r="P130" s="212"/>
      <c r="Q130" s="215"/>
      <c r="R130" s="16"/>
      <c r="S130" s="16"/>
      <c r="T130" s="214"/>
      <c r="U130" s="215">
        <f t="shared" si="9"/>
        <v>0.3</v>
      </c>
      <c r="V130" s="16">
        <v>0.3</v>
      </c>
      <c r="W130" s="16"/>
      <c r="X130" s="11"/>
      <c r="Y130" s="9"/>
    </row>
    <row r="131" spans="3:25" ht="12.75">
      <c r="C131" s="47">
        <v>121</v>
      </c>
      <c r="D131" s="35" t="s">
        <v>73</v>
      </c>
      <c r="E131" s="233">
        <f t="shared" si="10"/>
        <v>270.669</v>
      </c>
      <c r="F131" s="235">
        <f t="shared" si="10"/>
        <v>270.669</v>
      </c>
      <c r="G131" s="542">
        <f t="shared" si="10"/>
        <v>164.80800000000002</v>
      </c>
      <c r="H131" s="232"/>
      <c r="I131" s="54">
        <f t="shared" si="11"/>
        <v>217.341</v>
      </c>
      <c r="J131" s="542">
        <f>224.541-7.2</f>
        <v>217.341</v>
      </c>
      <c r="K131" s="542">
        <f>151.448-0.2</f>
        <v>151.24800000000002</v>
      </c>
      <c r="L131" s="11"/>
      <c r="M131" s="215">
        <f t="shared" si="12"/>
        <v>50.828</v>
      </c>
      <c r="N131" s="16">
        <v>50.828</v>
      </c>
      <c r="O131" s="16">
        <v>13.56</v>
      </c>
      <c r="P131" s="212"/>
      <c r="Q131" s="213"/>
      <c r="R131" s="211"/>
      <c r="S131" s="211"/>
      <c r="T131" s="214"/>
      <c r="U131" s="215">
        <f t="shared" si="9"/>
        <v>2.5</v>
      </c>
      <c r="V131" s="16">
        <v>2.5</v>
      </c>
      <c r="W131" s="16"/>
      <c r="X131" s="11"/>
      <c r="Y131" s="9"/>
    </row>
    <row r="132" spans="3:25" ht="12.75">
      <c r="C132" s="849">
        <v>122</v>
      </c>
      <c r="D132" s="35" t="s">
        <v>51</v>
      </c>
      <c r="E132" s="233">
        <f t="shared" si="10"/>
        <v>479.90700000000004</v>
      </c>
      <c r="F132" s="235">
        <f t="shared" si="10"/>
        <v>479.90700000000004</v>
      </c>
      <c r="G132" s="542">
        <f t="shared" si="10"/>
        <v>104.181</v>
      </c>
      <c r="H132" s="232"/>
      <c r="I132" s="54">
        <f t="shared" si="11"/>
        <v>414.22700000000003</v>
      </c>
      <c r="J132" s="542">
        <f>422.627-8.4</f>
        <v>414.22700000000003</v>
      </c>
      <c r="K132" s="542">
        <v>104.181</v>
      </c>
      <c r="L132" s="11"/>
      <c r="M132" s="215">
        <f t="shared" si="12"/>
        <v>63.712</v>
      </c>
      <c r="N132" s="16">
        <v>63.712</v>
      </c>
      <c r="O132" s="16"/>
      <c r="P132" s="212"/>
      <c r="Q132" s="213"/>
      <c r="R132" s="211"/>
      <c r="S132" s="211"/>
      <c r="T132" s="214"/>
      <c r="U132" s="215">
        <f t="shared" si="9"/>
        <v>1.968</v>
      </c>
      <c r="V132" s="16">
        <v>1.968</v>
      </c>
      <c r="W132" s="16"/>
      <c r="X132" s="11"/>
      <c r="Y132" s="9"/>
    </row>
    <row r="133" spans="3:25" ht="15" customHeight="1" hidden="1" thickBot="1">
      <c r="C133" s="241">
        <v>121</v>
      </c>
      <c r="D133" s="880" t="s">
        <v>163</v>
      </c>
      <c r="E133" s="882">
        <f t="shared" si="10"/>
        <v>18925.2846</v>
      </c>
      <c r="F133" s="883">
        <f>J133+N133+R133+V133</f>
        <v>17379.002</v>
      </c>
      <c r="G133" s="242">
        <f t="shared" si="10"/>
        <v>8330.014000000001</v>
      </c>
      <c r="H133" s="242">
        <f t="shared" si="10"/>
        <v>1546.2826</v>
      </c>
      <c r="I133" s="334">
        <f>J133+L133</f>
        <v>12783.403</v>
      </c>
      <c r="J133" s="264">
        <f>+J11+J14+J21+J22+J40+J48+J59+J63+J76+J80+J107+J109+J111+J115+J116+J118+J119+SUM(J121:J132)+J73</f>
        <v>12508.403</v>
      </c>
      <c r="K133" s="264">
        <f>+K11+K14+K21+K22+K40+K48+K59+K63+K76+K80+K107+K109+K111+K115+K116+K118+K119+SUM(K121:K132)</f>
        <v>6127.985000000001</v>
      </c>
      <c r="L133" s="264">
        <f>+L11+L14+L21+L22+L40+L48+L59+L63+L76+L80+L107+L109+L111+L115+L116+L118+L119+SUM(L121:L132)</f>
        <v>275</v>
      </c>
      <c r="M133" s="265">
        <f>M14+M22+M48+M76+M107+M116+M118+M119+SUM(M123:M132)</f>
        <v>5344.4606</v>
      </c>
      <c r="N133" s="265">
        <f>N14+N22+N48+N76+N107+N116+N118+N119+SUM(N123:N132)</f>
        <v>4097.278</v>
      </c>
      <c r="O133" s="264">
        <f>O14+O22+O48+O76+O107+O116+O118+O119+SUM(O123:O132)</f>
        <v>1850.7489999999998</v>
      </c>
      <c r="P133" s="264">
        <f>P14+P22+P48+P76+P107+P116+P118+P119+SUM(P123:P132)</f>
        <v>1247.1826</v>
      </c>
      <c r="Q133" s="265">
        <f>Q11+Q14+Q21+Q22+Q40+Q48+Q59+Q63+Q76+Q80-Q94-Q95+Q107+Q109+Q111+Q115+Q116+Q118+SUM(Q121:Q132)</f>
        <v>22.622999999999998</v>
      </c>
      <c r="R133" s="267">
        <f>R11+R14+R21+R22+R40+R48+R59+R63+R76+R80-R94-R95+R107+R109+R111+R115+R116+R118+SUM(R121:R132)</f>
        <v>22.622999999999998</v>
      </c>
      <c r="S133" s="267">
        <f>S11+S14+S21+S22+S40+S48+S59+S63+S76+S80-S94-S95+S107+S109+S111+S115+S116+S118+SUM(S121:S132)</f>
        <v>22.299999999999997</v>
      </c>
      <c r="T133" s="335"/>
      <c r="U133" s="265">
        <f>U11+U14+U21+U22+U40+U48+U59+U63+U76+U80-U94-U95+U107+U109+U111+U115+U116+U118+U119+SUM(U121:U132)</f>
        <v>774.798</v>
      </c>
      <c r="V133" s="264">
        <f>V11+V14+V21+V22+V40+V48+V59+V63+V76+V80-V94-V95+V107+V109+V111+V115+V116+V118+V119+SUM(V121:V132)</f>
        <v>750.6979999999999</v>
      </c>
      <c r="W133" s="264">
        <f>W11+W14+W21+W22+W40+W48+W59+W63+W76+W80-W94-W95+W107+W109+W111+W115+W116+W118+W119+SUM(W121:W132)</f>
        <v>328.97999999999996</v>
      </c>
      <c r="X133" s="266">
        <f>X11+X14+X21+X22+X40+X48+X59+X63+X76+X80-X94-X95+X107+X109+X111+X115+X116+X118+X119+SUM(X121:X132)</f>
        <v>24.1</v>
      </c>
      <c r="Y133" s="9"/>
    </row>
    <row r="134" spans="3:25" ht="12.75">
      <c r="C134" s="207">
        <v>123</v>
      </c>
      <c r="D134" s="120" t="s">
        <v>74</v>
      </c>
      <c r="E134" s="108">
        <f aca="true" t="shared" si="13" ref="E134:G139">+I134+M134+Q134+U134</f>
        <v>459.965</v>
      </c>
      <c r="F134" s="208">
        <f t="shared" si="13"/>
        <v>459.965</v>
      </c>
      <c r="G134" s="113">
        <f t="shared" si="13"/>
        <v>390.642</v>
      </c>
      <c r="H134" s="114"/>
      <c r="I134" s="270">
        <f aca="true" t="shared" si="14" ref="I134:I139">+J134</f>
        <v>291.544</v>
      </c>
      <c r="J134" s="268">
        <v>291.544</v>
      </c>
      <c r="K134" s="268">
        <v>262.967</v>
      </c>
      <c r="L134" s="271"/>
      <c r="M134" s="270"/>
      <c r="N134" s="268"/>
      <c r="O134" s="268"/>
      <c r="P134" s="269"/>
      <c r="Q134" s="270">
        <f aca="true" t="shared" si="15" ref="Q134:Q164">+R134</f>
        <v>133.421</v>
      </c>
      <c r="R134" s="268">
        <v>133.421</v>
      </c>
      <c r="S134" s="268">
        <v>127.675</v>
      </c>
      <c r="T134" s="272"/>
      <c r="U134" s="270">
        <f aca="true" t="shared" si="16" ref="U134:U158">+V134</f>
        <v>35</v>
      </c>
      <c r="V134" s="268">
        <v>35</v>
      </c>
      <c r="W134" s="268"/>
      <c r="X134" s="272"/>
      <c r="Y134" s="9"/>
    </row>
    <row r="135" spans="3:25" ht="12.75">
      <c r="C135" s="47">
        <v>124</v>
      </c>
      <c r="D135" s="35" t="s">
        <v>75</v>
      </c>
      <c r="E135" s="36">
        <f t="shared" si="13"/>
        <v>768.38</v>
      </c>
      <c r="F135" s="49">
        <f t="shared" si="13"/>
        <v>768.38</v>
      </c>
      <c r="G135" s="38">
        <f t="shared" si="13"/>
        <v>633.443</v>
      </c>
      <c r="H135" s="39"/>
      <c r="I135" s="215">
        <f t="shared" si="14"/>
        <v>475.232</v>
      </c>
      <c r="J135" s="16">
        <v>475.232</v>
      </c>
      <c r="K135" s="16">
        <v>422.896</v>
      </c>
      <c r="L135" s="214"/>
      <c r="M135" s="273"/>
      <c r="N135" s="16"/>
      <c r="O135" s="16"/>
      <c r="P135" s="212"/>
      <c r="Q135" s="215">
        <f t="shared" si="15"/>
        <v>220.194</v>
      </c>
      <c r="R135" s="16">
        <v>220.194</v>
      </c>
      <c r="S135" s="16">
        <v>210.547</v>
      </c>
      <c r="T135" s="11"/>
      <c r="U135" s="215">
        <f t="shared" si="16"/>
        <v>72.954</v>
      </c>
      <c r="V135" s="16">
        <v>72.954</v>
      </c>
      <c r="W135" s="16"/>
      <c r="X135" s="11"/>
      <c r="Y135" s="9"/>
    </row>
    <row r="136" spans="3:25" ht="12.75">
      <c r="C136" s="47">
        <v>125</v>
      </c>
      <c r="D136" s="35" t="s">
        <v>54</v>
      </c>
      <c r="E136" s="36">
        <f t="shared" si="13"/>
        <v>317.719</v>
      </c>
      <c r="F136" s="49">
        <f t="shared" si="13"/>
        <v>317.719</v>
      </c>
      <c r="G136" s="38">
        <f t="shared" si="13"/>
        <v>259.397</v>
      </c>
      <c r="H136" s="39"/>
      <c r="I136" s="215">
        <f>+J136+L136</f>
        <v>207.326</v>
      </c>
      <c r="J136" s="16">
        <v>207.326</v>
      </c>
      <c r="K136" s="16">
        <v>170.568</v>
      </c>
      <c r="L136" s="11"/>
      <c r="M136" s="273"/>
      <c r="N136" s="16"/>
      <c r="O136" s="16"/>
      <c r="P136" s="212"/>
      <c r="Q136" s="215">
        <f t="shared" si="15"/>
        <v>92.893</v>
      </c>
      <c r="R136" s="16">
        <v>92.893</v>
      </c>
      <c r="S136" s="16">
        <v>88.829</v>
      </c>
      <c r="T136" s="11"/>
      <c r="U136" s="215">
        <f t="shared" si="16"/>
        <v>17.5</v>
      </c>
      <c r="V136" s="16">
        <v>17.5</v>
      </c>
      <c r="W136" s="16"/>
      <c r="X136" s="11"/>
      <c r="Y136" s="9"/>
    </row>
    <row r="137" spans="3:25" ht="12.75">
      <c r="C137" s="47">
        <v>126</v>
      </c>
      <c r="D137" s="35" t="s">
        <v>164</v>
      </c>
      <c r="E137" s="36">
        <f t="shared" si="13"/>
        <v>599.604</v>
      </c>
      <c r="F137" s="49">
        <f t="shared" si="13"/>
        <v>599.604</v>
      </c>
      <c r="G137" s="38">
        <f t="shared" si="13"/>
        <v>477.517</v>
      </c>
      <c r="H137" s="39"/>
      <c r="I137" s="215">
        <f t="shared" si="14"/>
        <v>270.773</v>
      </c>
      <c r="J137" s="16">
        <v>270.773</v>
      </c>
      <c r="K137" s="16">
        <v>225.93</v>
      </c>
      <c r="L137" s="214"/>
      <c r="M137" s="273"/>
      <c r="N137" s="16"/>
      <c r="O137" s="16"/>
      <c r="P137" s="212"/>
      <c r="Q137" s="215">
        <f t="shared" si="15"/>
        <v>262.831</v>
      </c>
      <c r="R137" s="16">
        <v>262.831</v>
      </c>
      <c r="S137" s="16">
        <v>251.587</v>
      </c>
      <c r="T137" s="11"/>
      <c r="U137" s="215">
        <f t="shared" si="16"/>
        <v>66</v>
      </c>
      <c r="V137" s="16">
        <v>66</v>
      </c>
      <c r="W137" s="16"/>
      <c r="X137" s="11"/>
      <c r="Y137" s="9"/>
    </row>
    <row r="138" spans="3:25" ht="12.75">
      <c r="C138" s="47">
        <v>127</v>
      </c>
      <c r="D138" s="35" t="s">
        <v>165</v>
      </c>
      <c r="E138" s="36">
        <f t="shared" si="13"/>
        <v>238.04699999999997</v>
      </c>
      <c r="F138" s="49">
        <f t="shared" si="13"/>
        <v>238.04699999999997</v>
      </c>
      <c r="G138" s="38">
        <f t="shared" si="13"/>
        <v>199.70999999999998</v>
      </c>
      <c r="H138" s="39"/>
      <c r="I138" s="215">
        <f t="shared" si="14"/>
        <v>157.105</v>
      </c>
      <c r="J138" s="16">
        <v>157.105</v>
      </c>
      <c r="K138" s="16">
        <v>133.32</v>
      </c>
      <c r="L138" s="214"/>
      <c r="M138" s="273"/>
      <c r="N138" s="16"/>
      <c r="O138" s="16"/>
      <c r="P138" s="212"/>
      <c r="Q138" s="215">
        <f t="shared" si="15"/>
        <v>69.242</v>
      </c>
      <c r="R138" s="16">
        <v>69.242</v>
      </c>
      <c r="S138" s="16">
        <v>66.39</v>
      </c>
      <c r="T138" s="11"/>
      <c r="U138" s="215">
        <f t="shared" si="16"/>
        <v>11.7</v>
      </c>
      <c r="V138" s="16">
        <v>11.7</v>
      </c>
      <c r="W138" s="16"/>
      <c r="X138" s="11"/>
      <c r="Y138" s="9"/>
    </row>
    <row r="139" spans="3:25" ht="12.75">
      <c r="C139" s="47">
        <v>128</v>
      </c>
      <c r="D139" s="35" t="s">
        <v>166</v>
      </c>
      <c r="E139" s="36">
        <f t="shared" si="13"/>
        <v>251.106</v>
      </c>
      <c r="F139" s="49">
        <f t="shared" si="13"/>
        <v>251.106</v>
      </c>
      <c r="G139" s="38">
        <f t="shared" si="13"/>
        <v>232.034</v>
      </c>
      <c r="H139" s="39"/>
      <c r="I139" s="215">
        <f t="shared" si="14"/>
        <v>122.752</v>
      </c>
      <c r="J139" s="16">
        <v>122.752</v>
      </c>
      <c r="K139" s="16">
        <v>117.417</v>
      </c>
      <c r="L139" s="214"/>
      <c r="M139" s="273"/>
      <c r="N139" s="16"/>
      <c r="O139" s="16"/>
      <c r="P139" s="212"/>
      <c r="Q139" s="215">
        <f t="shared" si="15"/>
        <v>118.554</v>
      </c>
      <c r="R139" s="16">
        <v>118.554</v>
      </c>
      <c r="S139" s="16">
        <v>114.617</v>
      </c>
      <c r="T139" s="11"/>
      <c r="U139" s="215">
        <f t="shared" si="16"/>
        <v>9.8</v>
      </c>
      <c r="V139" s="16">
        <v>9.8</v>
      </c>
      <c r="W139" s="16"/>
      <c r="X139" s="11"/>
      <c r="Y139" s="9"/>
    </row>
    <row r="140" spans="3:25" ht="12.75">
      <c r="C140" s="47">
        <v>129</v>
      </c>
      <c r="D140" s="35" t="s">
        <v>85</v>
      </c>
      <c r="E140" s="36">
        <f aca="true" t="shared" si="17" ref="E140:H149">+I140+M140+Q140+U140</f>
        <v>799.144</v>
      </c>
      <c r="F140" s="49">
        <f t="shared" si="17"/>
        <v>792.644</v>
      </c>
      <c r="G140" s="38">
        <f t="shared" si="17"/>
        <v>660.957</v>
      </c>
      <c r="H140" s="39">
        <f t="shared" si="17"/>
        <v>6.5</v>
      </c>
      <c r="I140" s="215">
        <f>+J140+L140</f>
        <v>509.961</v>
      </c>
      <c r="J140" s="16">
        <v>509.961</v>
      </c>
      <c r="K140" s="16">
        <v>451.696</v>
      </c>
      <c r="L140" s="11"/>
      <c r="M140" s="273"/>
      <c r="N140" s="16"/>
      <c r="O140" s="16"/>
      <c r="P140" s="212"/>
      <c r="Q140" s="215">
        <f t="shared" si="15"/>
        <v>219.583</v>
      </c>
      <c r="R140" s="16">
        <v>219.583</v>
      </c>
      <c r="S140" s="16">
        <v>209.261</v>
      </c>
      <c r="T140" s="11"/>
      <c r="U140" s="215">
        <f>+V140+X140</f>
        <v>69.6</v>
      </c>
      <c r="V140" s="16">
        <v>63.1</v>
      </c>
      <c r="W140" s="16"/>
      <c r="X140" s="11">
        <v>6.5</v>
      </c>
      <c r="Y140" s="9"/>
    </row>
    <row r="141" spans="3:25" ht="12.75">
      <c r="C141" s="47">
        <v>130</v>
      </c>
      <c r="D141" s="35" t="s">
        <v>58</v>
      </c>
      <c r="E141" s="36">
        <f t="shared" si="17"/>
        <v>821.54</v>
      </c>
      <c r="F141" s="49">
        <f t="shared" si="17"/>
        <v>821.54</v>
      </c>
      <c r="G141" s="38">
        <f t="shared" si="17"/>
        <v>736.6970000000001</v>
      </c>
      <c r="H141" s="39"/>
      <c r="I141" s="215">
        <f aca="true" t="shared" si="18" ref="I141:I147">+J141</f>
        <v>217.923</v>
      </c>
      <c r="J141" s="16">
        <v>217.923</v>
      </c>
      <c r="K141" s="16">
        <v>172.377</v>
      </c>
      <c r="L141" s="11"/>
      <c r="M141" s="273"/>
      <c r="N141" s="16"/>
      <c r="O141" s="16"/>
      <c r="P141" s="14"/>
      <c r="Q141" s="215">
        <f t="shared" si="15"/>
        <v>587.117</v>
      </c>
      <c r="R141" s="16">
        <v>587.117</v>
      </c>
      <c r="S141" s="16">
        <v>564.32</v>
      </c>
      <c r="T141" s="11"/>
      <c r="U141" s="215">
        <f>V141+X141</f>
        <v>16.5</v>
      </c>
      <c r="V141" s="16">
        <v>16.5</v>
      </c>
      <c r="W141" s="16"/>
      <c r="X141" s="11"/>
      <c r="Y141" s="9"/>
    </row>
    <row r="142" spans="3:25" ht="12.75">
      <c r="C142" s="47">
        <v>131</v>
      </c>
      <c r="D142" s="35" t="s">
        <v>168</v>
      </c>
      <c r="E142" s="36">
        <f t="shared" si="17"/>
        <v>89.94200000000001</v>
      </c>
      <c r="F142" s="49">
        <f t="shared" si="17"/>
        <v>89.94200000000001</v>
      </c>
      <c r="G142" s="38">
        <f t="shared" si="17"/>
        <v>79.61</v>
      </c>
      <c r="H142" s="39"/>
      <c r="I142" s="215">
        <f t="shared" si="18"/>
        <v>55.094</v>
      </c>
      <c r="J142" s="16">
        <v>55.094</v>
      </c>
      <c r="K142" s="16">
        <v>52.01</v>
      </c>
      <c r="L142" s="214"/>
      <c r="M142" s="273"/>
      <c r="N142" s="16"/>
      <c r="O142" s="16"/>
      <c r="P142" s="212"/>
      <c r="Q142" s="215">
        <f t="shared" si="15"/>
        <v>28.848</v>
      </c>
      <c r="R142" s="16">
        <v>28.848</v>
      </c>
      <c r="S142" s="16">
        <v>27.6</v>
      </c>
      <c r="T142" s="11"/>
      <c r="U142" s="215">
        <f t="shared" si="16"/>
        <v>6</v>
      </c>
      <c r="V142" s="16">
        <v>6</v>
      </c>
      <c r="W142" s="16"/>
      <c r="X142" s="11"/>
      <c r="Y142" s="9"/>
    </row>
    <row r="143" spans="3:25" ht="12.75">
      <c r="C143" s="47">
        <v>132</v>
      </c>
      <c r="D143" s="35" t="s">
        <v>305</v>
      </c>
      <c r="E143" s="36">
        <f t="shared" si="17"/>
        <v>161.262</v>
      </c>
      <c r="F143" s="49">
        <f t="shared" si="17"/>
        <v>161.262</v>
      </c>
      <c r="G143" s="38">
        <f t="shared" si="17"/>
        <v>135.715</v>
      </c>
      <c r="H143" s="39"/>
      <c r="I143" s="215">
        <f t="shared" si="18"/>
        <v>122.236</v>
      </c>
      <c r="J143" s="16">
        <v>122.236</v>
      </c>
      <c r="K143" s="16">
        <v>100.319</v>
      </c>
      <c r="L143" s="214"/>
      <c r="M143" s="273"/>
      <c r="N143" s="16"/>
      <c r="O143" s="16"/>
      <c r="P143" s="212"/>
      <c r="Q143" s="215">
        <f t="shared" si="15"/>
        <v>36.526</v>
      </c>
      <c r="R143" s="16">
        <v>36.526</v>
      </c>
      <c r="S143" s="16">
        <v>35.396</v>
      </c>
      <c r="T143" s="11"/>
      <c r="U143" s="215">
        <f t="shared" si="16"/>
        <v>2.5</v>
      </c>
      <c r="V143" s="16">
        <v>2.5</v>
      </c>
      <c r="W143" s="16"/>
      <c r="X143" s="11"/>
      <c r="Y143" s="9"/>
    </row>
    <row r="144" spans="3:25" ht="12.75">
      <c r="C144" s="47">
        <v>133</v>
      </c>
      <c r="D144" s="35" t="s">
        <v>86</v>
      </c>
      <c r="E144" s="36">
        <f t="shared" si="17"/>
        <v>290.902</v>
      </c>
      <c r="F144" s="49">
        <f t="shared" si="17"/>
        <v>290.902</v>
      </c>
      <c r="G144" s="38">
        <f t="shared" si="17"/>
        <v>278.449</v>
      </c>
      <c r="H144" s="39"/>
      <c r="I144" s="215">
        <f>+J144+L144</f>
        <v>56.898</v>
      </c>
      <c r="J144" s="16">
        <v>56.898</v>
      </c>
      <c r="K144" s="16">
        <v>52.654</v>
      </c>
      <c r="L144" s="11"/>
      <c r="M144" s="273"/>
      <c r="N144" s="16"/>
      <c r="O144" s="16"/>
      <c r="P144" s="212"/>
      <c r="Q144" s="215">
        <f t="shared" si="15"/>
        <v>233.504</v>
      </c>
      <c r="R144" s="16">
        <v>233.504</v>
      </c>
      <c r="S144" s="16">
        <v>225.795</v>
      </c>
      <c r="T144" s="11"/>
      <c r="U144" s="215">
        <f t="shared" si="16"/>
        <v>0.5</v>
      </c>
      <c r="V144" s="16">
        <v>0.5</v>
      </c>
      <c r="W144" s="16"/>
      <c r="X144" s="11"/>
      <c r="Y144" s="9"/>
    </row>
    <row r="145" spans="3:25" ht="12.75">
      <c r="C145" s="47">
        <v>134</v>
      </c>
      <c r="D145" s="642" t="s">
        <v>362</v>
      </c>
      <c r="E145" s="36">
        <f t="shared" si="17"/>
        <v>18.992</v>
      </c>
      <c r="F145" s="49">
        <f t="shared" si="17"/>
        <v>18.992</v>
      </c>
      <c r="G145" s="38">
        <f t="shared" si="17"/>
        <v>17.361</v>
      </c>
      <c r="H145" s="39"/>
      <c r="I145" s="215"/>
      <c r="J145" s="16"/>
      <c r="K145" s="16"/>
      <c r="L145" s="214"/>
      <c r="M145" s="322">
        <f>N145+P145</f>
        <v>0.8</v>
      </c>
      <c r="N145" s="16">
        <v>0.8</v>
      </c>
      <c r="O145" s="16"/>
      <c r="P145" s="212"/>
      <c r="Q145" s="215">
        <f t="shared" si="15"/>
        <v>18.192</v>
      </c>
      <c r="R145" s="16">
        <v>18.192</v>
      </c>
      <c r="S145" s="16">
        <v>17.361</v>
      </c>
      <c r="T145" s="11"/>
      <c r="U145" s="215"/>
      <c r="V145" s="16"/>
      <c r="W145" s="16"/>
      <c r="X145" s="274"/>
      <c r="Y145" s="9"/>
    </row>
    <row r="146" spans="3:25" ht="12.75">
      <c r="C146" s="47">
        <v>135</v>
      </c>
      <c r="D146" s="35" t="s">
        <v>60</v>
      </c>
      <c r="E146" s="36">
        <f t="shared" si="17"/>
        <v>1837.598</v>
      </c>
      <c r="F146" s="49">
        <f t="shared" si="17"/>
        <v>1832.598</v>
      </c>
      <c r="G146" s="38">
        <f t="shared" si="17"/>
        <v>1573.127</v>
      </c>
      <c r="H146" s="39">
        <f t="shared" si="17"/>
        <v>5</v>
      </c>
      <c r="I146" s="215">
        <f t="shared" si="18"/>
        <v>707.035</v>
      </c>
      <c r="J146" s="16">
        <v>707.035</v>
      </c>
      <c r="K146" s="16">
        <v>553.406</v>
      </c>
      <c r="L146" s="214"/>
      <c r="M146" s="273"/>
      <c r="N146" s="16"/>
      <c r="O146" s="16"/>
      <c r="P146" s="212"/>
      <c r="Q146" s="215">
        <f>R146+T146</f>
        <v>1056.563</v>
      </c>
      <c r="R146" s="16">
        <v>1056.563</v>
      </c>
      <c r="S146" s="16">
        <v>1019.721</v>
      </c>
      <c r="T146" s="11"/>
      <c r="U146" s="215">
        <f>+V146+X146</f>
        <v>74</v>
      </c>
      <c r="V146" s="16">
        <v>69</v>
      </c>
      <c r="W146" s="16"/>
      <c r="X146" s="11">
        <v>5</v>
      </c>
      <c r="Y146" s="9"/>
    </row>
    <row r="147" spans="3:25" ht="12.75">
      <c r="C147" s="47">
        <v>136</v>
      </c>
      <c r="D147" s="35" t="s">
        <v>171</v>
      </c>
      <c r="E147" s="36">
        <f t="shared" si="17"/>
        <v>97.074</v>
      </c>
      <c r="F147" s="49">
        <f t="shared" si="17"/>
        <v>96.074</v>
      </c>
      <c r="G147" s="38">
        <f t="shared" si="17"/>
        <v>74.307</v>
      </c>
      <c r="H147" s="39">
        <f t="shared" si="17"/>
        <v>1</v>
      </c>
      <c r="I147" s="215">
        <f t="shared" si="18"/>
        <v>92.074</v>
      </c>
      <c r="J147" s="16">
        <v>92.074</v>
      </c>
      <c r="K147" s="16">
        <v>74.307</v>
      </c>
      <c r="L147" s="11"/>
      <c r="M147" s="273"/>
      <c r="N147" s="16"/>
      <c r="O147" s="16"/>
      <c r="P147" s="14"/>
      <c r="Q147" s="215"/>
      <c r="R147" s="16"/>
      <c r="S147" s="16"/>
      <c r="T147" s="11"/>
      <c r="U147" s="215">
        <f>+V147+X147</f>
        <v>5</v>
      </c>
      <c r="V147" s="16">
        <v>4</v>
      </c>
      <c r="W147" s="16"/>
      <c r="X147" s="11">
        <v>1</v>
      </c>
      <c r="Y147" s="9"/>
    </row>
    <row r="148" spans="3:25" ht="12.75">
      <c r="C148" s="47">
        <v>137</v>
      </c>
      <c r="D148" s="35" t="s">
        <v>172</v>
      </c>
      <c r="E148" s="36">
        <f t="shared" si="17"/>
        <v>1322.293</v>
      </c>
      <c r="F148" s="49">
        <f t="shared" si="17"/>
        <v>1317.793</v>
      </c>
      <c r="G148" s="38">
        <f t="shared" si="17"/>
        <v>1180.651</v>
      </c>
      <c r="H148" s="39">
        <f t="shared" si="17"/>
        <v>4.5</v>
      </c>
      <c r="I148" s="215">
        <f>+J148+L148</f>
        <v>370.561</v>
      </c>
      <c r="J148" s="16">
        <v>370.561</v>
      </c>
      <c r="K148" s="16">
        <v>303.6</v>
      </c>
      <c r="L148" s="11"/>
      <c r="M148" s="273"/>
      <c r="N148" s="16"/>
      <c r="O148" s="16"/>
      <c r="P148" s="212"/>
      <c r="Q148" s="215">
        <f>R148+T148</f>
        <v>913.752</v>
      </c>
      <c r="R148" s="16">
        <v>909.252</v>
      </c>
      <c r="S148" s="16">
        <v>877.051</v>
      </c>
      <c r="T148" s="11">
        <v>4.5</v>
      </c>
      <c r="U148" s="215">
        <f t="shared" si="16"/>
        <v>37.98</v>
      </c>
      <c r="V148" s="16">
        <v>37.98</v>
      </c>
      <c r="W148" s="16"/>
      <c r="X148" s="11"/>
      <c r="Y148" s="9"/>
    </row>
    <row r="149" spans="3:25" ht="12.75">
      <c r="C149" s="47">
        <v>138</v>
      </c>
      <c r="D149" s="35" t="s">
        <v>62</v>
      </c>
      <c r="E149" s="36">
        <f t="shared" si="17"/>
        <v>830.577</v>
      </c>
      <c r="F149" s="49">
        <f t="shared" si="17"/>
        <v>830.577</v>
      </c>
      <c r="G149" s="38">
        <f t="shared" si="17"/>
        <v>702.28</v>
      </c>
      <c r="H149" s="39"/>
      <c r="I149" s="215">
        <f>+J149+L149</f>
        <v>342.47</v>
      </c>
      <c r="J149" s="16">
        <v>342.47</v>
      </c>
      <c r="K149" s="16">
        <v>247.636</v>
      </c>
      <c r="L149" s="11"/>
      <c r="M149" s="273"/>
      <c r="N149" s="16"/>
      <c r="O149" s="16"/>
      <c r="P149" s="212"/>
      <c r="Q149" s="215">
        <f t="shared" si="15"/>
        <v>471.107</v>
      </c>
      <c r="R149" s="16">
        <v>471.107</v>
      </c>
      <c r="S149" s="16">
        <v>454.644</v>
      </c>
      <c r="T149" s="11"/>
      <c r="U149" s="215">
        <f>+V149+X149</f>
        <v>17</v>
      </c>
      <c r="V149" s="16">
        <v>17</v>
      </c>
      <c r="W149" s="16"/>
      <c r="X149" s="11"/>
      <c r="Y149" s="9"/>
    </row>
    <row r="150" spans="3:25" ht="12.75">
      <c r="C150" s="47">
        <v>139</v>
      </c>
      <c r="D150" s="35" t="s">
        <v>173</v>
      </c>
      <c r="E150" s="36">
        <f aca="true" t="shared" si="19" ref="E150:G151">I150+M150+Q150+U150</f>
        <v>45.287</v>
      </c>
      <c r="F150" s="49">
        <f t="shared" si="19"/>
        <v>45.287</v>
      </c>
      <c r="G150" s="38">
        <f t="shared" si="19"/>
        <v>41.58</v>
      </c>
      <c r="H150" s="39"/>
      <c r="I150" s="215">
        <f>J150+L150</f>
        <v>39.287</v>
      </c>
      <c r="J150" s="16">
        <v>39.287</v>
      </c>
      <c r="K150" s="16">
        <v>37.98</v>
      </c>
      <c r="L150" s="11"/>
      <c r="M150" s="273"/>
      <c r="N150" s="16"/>
      <c r="O150" s="16"/>
      <c r="P150" s="14"/>
      <c r="Q150" s="215"/>
      <c r="R150" s="16"/>
      <c r="S150" s="16"/>
      <c r="T150" s="11"/>
      <c r="U150" s="215">
        <f t="shared" si="16"/>
        <v>6</v>
      </c>
      <c r="V150" s="16">
        <v>6</v>
      </c>
      <c r="W150" s="16">
        <v>3.6</v>
      </c>
      <c r="X150" s="11"/>
      <c r="Y150" s="9"/>
    </row>
    <row r="151" spans="3:25" ht="12.75">
      <c r="C151" s="47">
        <v>140</v>
      </c>
      <c r="D151" s="35" t="s">
        <v>174</v>
      </c>
      <c r="E151" s="36">
        <f t="shared" si="19"/>
        <v>462.933</v>
      </c>
      <c r="F151" s="49">
        <f t="shared" si="19"/>
        <v>462.933</v>
      </c>
      <c r="G151" s="38">
        <f t="shared" si="19"/>
        <v>411.406</v>
      </c>
      <c r="H151" s="39"/>
      <c r="I151" s="215">
        <f>J151+L151</f>
        <v>206.071</v>
      </c>
      <c r="J151" s="16">
        <v>206.071</v>
      </c>
      <c r="K151" s="16">
        <v>168.46</v>
      </c>
      <c r="L151" s="11"/>
      <c r="M151" s="273"/>
      <c r="N151" s="16"/>
      <c r="O151" s="16"/>
      <c r="P151" s="212"/>
      <c r="Q151" s="215">
        <f t="shared" si="15"/>
        <v>249.862</v>
      </c>
      <c r="R151" s="16">
        <v>249.862</v>
      </c>
      <c r="S151" s="16">
        <v>242.946</v>
      </c>
      <c r="T151" s="11"/>
      <c r="U151" s="215">
        <f t="shared" si="16"/>
        <v>7</v>
      </c>
      <c r="V151" s="16">
        <v>7</v>
      </c>
      <c r="W151" s="16"/>
      <c r="X151" s="11"/>
      <c r="Y151" s="9"/>
    </row>
    <row r="152" spans="3:25" ht="12.75">
      <c r="C152" s="47">
        <v>141</v>
      </c>
      <c r="D152" s="35" t="s">
        <v>63</v>
      </c>
      <c r="E152" s="36">
        <f aca="true" t="shared" si="20" ref="E152:G154">+I152+M152+Q152+U152</f>
        <v>762.466</v>
      </c>
      <c r="F152" s="49">
        <f t="shared" si="20"/>
        <v>762.466</v>
      </c>
      <c r="G152" s="38">
        <f t="shared" si="20"/>
        <v>644.5070000000001</v>
      </c>
      <c r="H152" s="39"/>
      <c r="I152" s="215">
        <f>+J152+L152</f>
        <v>313.001</v>
      </c>
      <c r="J152" s="16">
        <v>313.001</v>
      </c>
      <c r="K152" s="16">
        <v>223.764</v>
      </c>
      <c r="L152" s="11"/>
      <c r="M152" s="273"/>
      <c r="N152" s="16"/>
      <c r="O152" s="16"/>
      <c r="P152" s="212"/>
      <c r="Q152" s="215">
        <f t="shared" si="15"/>
        <v>434.865</v>
      </c>
      <c r="R152" s="275">
        <v>434.865</v>
      </c>
      <c r="S152" s="16">
        <v>420.743</v>
      </c>
      <c r="T152" s="11"/>
      <c r="U152" s="215">
        <f t="shared" si="16"/>
        <v>14.6</v>
      </c>
      <c r="V152" s="16">
        <v>14.6</v>
      </c>
      <c r="W152" s="16"/>
      <c r="X152" s="11"/>
      <c r="Y152" s="9"/>
    </row>
    <row r="153" spans="3:25" ht="12.75">
      <c r="C153" s="47">
        <v>142</v>
      </c>
      <c r="D153" s="881" t="s">
        <v>175</v>
      </c>
      <c r="E153" s="36">
        <f t="shared" si="20"/>
        <v>184.452</v>
      </c>
      <c r="F153" s="49">
        <f t="shared" si="20"/>
        <v>184.452</v>
      </c>
      <c r="G153" s="38">
        <f t="shared" si="20"/>
        <v>141.18200000000002</v>
      </c>
      <c r="H153" s="39"/>
      <c r="I153" s="215">
        <f>+J153</f>
        <v>113.24</v>
      </c>
      <c r="J153" s="16">
        <v>113.24</v>
      </c>
      <c r="K153" s="16">
        <v>81.292</v>
      </c>
      <c r="L153" s="11"/>
      <c r="M153" s="273"/>
      <c r="N153" s="16"/>
      <c r="O153" s="16"/>
      <c r="P153" s="14"/>
      <c r="Q153" s="215">
        <f t="shared" si="15"/>
        <v>62.686</v>
      </c>
      <c r="R153" s="16">
        <v>62.686</v>
      </c>
      <c r="S153" s="16">
        <v>59.89</v>
      </c>
      <c r="T153" s="11"/>
      <c r="U153" s="215">
        <f t="shared" si="16"/>
        <v>8.526</v>
      </c>
      <c r="V153" s="16">
        <v>8.526</v>
      </c>
      <c r="W153" s="16"/>
      <c r="X153" s="11"/>
      <c r="Y153" s="9"/>
    </row>
    <row r="154" spans="3:25" ht="12.75">
      <c r="C154" s="47">
        <v>143</v>
      </c>
      <c r="D154" s="35" t="s">
        <v>176</v>
      </c>
      <c r="E154" s="36">
        <f t="shared" si="20"/>
        <v>44.588</v>
      </c>
      <c r="F154" s="49">
        <f t="shared" si="20"/>
        <v>44.588</v>
      </c>
      <c r="G154" s="38">
        <f t="shared" si="20"/>
        <v>39.577999999999996</v>
      </c>
      <c r="H154" s="39"/>
      <c r="I154" s="215">
        <f>+J154</f>
        <v>42.131</v>
      </c>
      <c r="J154" s="16">
        <v>42.131</v>
      </c>
      <c r="K154" s="16">
        <v>38.104</v>
      </c>
      <c r="L154" s="11"/>
      <c r="M154" s="273"/>
      <c r="N154" s="16"/>
      <c r="O154" s="16"/>
      <c r="P154" s="14"/>
      <c r="Q154" s="215"/>
      <c r="R154" s="16"/>
      <c r="S154" s="16"/>
      <c r="T154" s="11"/>
      <c r="U154" s="215">
        <f t="shared" si="16"/>
        <v>2.457</v>
      </c>
      <c r="V154" s="16">
        <v>2.457</v>
      </c>
      <c r="W154" s="16">
        <v>1.474</v>
      </c>
      <c r="X154" s="11"/>
      <c r="Y154" s="9"/>
    </row>
    <row r="155" spans="3:25" ht="12.75">
      <c r="C155" s="47">
        <v>144</v>
      </c>
      <c r="D155" s="35" t="s">
        <v>64</v>
      </c>
      <c r="E155" s="36">
        <f aca="true" t="shared" si="21" ref="E155:G156">I155+M155+Q155+U155</f>
        <v>720.684</v>
      </c>
      <c r="F155" s="49">
        <f t="shared" si="21"/>
        <v>719.884</v>
      </c>
      <c r="G155" s="38">
        <f t="shared" si="21"/>
        <v>623.704</v>
      </c>
      <c r="H155" s="39"/>
      <c r="I155" s="215">
        <f>J155+L155</f>
        <v>264.018</v>
      </c>
      <c r="J155" s="16">
        <v>264.018</v>
      </c>
      <c r="K155" s="16">
        <v>205.848</v>
      </c>
      <c r="L155" s="11"/>
      <c r="M155" s="273"/>
      <c r="N155" s="16"/>
      <c r="O155" s="16"/>
      <c r="P155" s="212"/>
      <c r="Q155" s="215">
        <f>R155+T155</f>
        <v>431.666</v>
      </c>
      <c r="R155" s="16">
        <v>430.866</v>
      </c>
      <c r="S155" s="16">
        <v>417.856</v>
      </c>
      <c r="T155" s="11">
        <v>0.8</v>
      </c>
      <c r="U155" s="215">
        <f t="shared" si="16"/>
        <v>25</v>
      </c>
      <c r="V155" s="16">
        <v>25</v>
      </c>
      <c r="W155" s="16"/>
      <c r="X155" s="11"/>
      <c r="Y155" s="9"/>
    </row>
    <row r="156" spans="3:25" ht="12.75">
      <c r="C156" s="47">
        <v>145</v>
      </c>
      <c r="D156" s="35" t="s">
        <v>177</v>
      </c>
      <c r="E156" s="36">
        <f t="shared" si="21"/>
        <v>38.985</v>
      </c>
      <c r="F156" s="49">
        <f t="shared" si="21"/>
        <v>38.985</v>
      </c>
      <c r="G156" s="38">
        <f t="shared" si="21"/>
        <v>37.605</v>
      </c>
      <c r="H156" s="39"/>
      <c r="I156" s="215">
        <f>J156+L156</f>
        <v>37.485</v>
      </c>
      <c r="J156" s="16">
        <v>37.485</v>
      </c>
      <c r="K156" s="16">
        <v>36.705</v>
      </c>
      <c r="L156" s="11"/>
      <c r="M156" s="273"/>
      <c r="N156" s="16"/>
      <c r="O156" s="16"/>
      <c r="P156" s="14"/>
      <c r="Q156" s="215"/>
      <c r="R156" s="16"/>
      <c r="S156" s="16"/>
      <c r="T156" s="11"/>
      <c r="U156" s="215">
        <f t="shared" si="16"/>
        <v>1.5</v>
      </c>
      <c r="V156" s="16">
        <v>1.5</v>
      </c>
      <c r="W156" s="16">
        <v>0.9</v>
      </c>
      <c r="X156" s="11"/>
      <c r="Y156" s="9"/>
    </row>
    <row r="157" spans="3:25" ht="12.75">
      <c r="C157" s="47">
        <v>146</v>
      </c>
      <c r="D157" s="35" t="s">
        <v>178</v>
      </c>
      <c r="E157" s="36">
        <f aca="true" t="shared" si="22" ref="E157:H166">+I157+M157+Q157+U157</f>
        <v>954.872</v>
      </c>
      <c r="F157" s="49">
        <f t="shared" si="22"/>
        <v>954.872</v>
      </c>
      <c r="G157" s="38">
        <f t="shared" si="22"/>
        <v>767.1949999999999</v>
      </c>
      <c r="H157" s="39"/>
      <c r="I157" s="215">
        <f aca="true" t="shared" si="23" ref="I157:I164">+J157</f>
        <v>414.625</v>
      </c>
      <c r="J157" s="16">
        <v>414.625</v>
      </c>
      <c r="K157" s="16">
        <v>270.757</v>
      </c>
      <c r="L157" s="214"/>
      <c r="M157" s="273"/>
      <c r="N157" s="16"/>
      <c r="O157" s="16"/>
      <c r="P157" s="212"/>
      <c r="Q157" s="215">
        <f t="shared" si="15"/>
        <v>514.317</v>
      </c>
      <c r="R157" s="16">
        <v>514.317</v>
      </c>
      <c r="S157" s="16">
        <v>496.438</v>
      </c>
      <c r="T157" s="214"/>
      <c r="U157" s="215">
        <f t="shared" si="16"/>
        <v>25.93</v>
      </c>
      <c r="V157" s="16">
        <v>25.93</v>
      </c>
      <c r="W157" s="16"/>
      <c r="X157" s="11"/>
      <c r="Y157" s="9"/>
    </row>
    <row r="158" spans="3:24" s="288" customFormat="1" ht="12.75">
      <c r="C158" s="238">
        <v>147</v>
      </c>
      <c r="D158" s="857" t="s">
        <v>80</v>
      </c>
      <c r="E158" s="233">
        <f t="shared" si="22"/>
        <v>399.664</v>
      </c>
      <c r="F158" s="235">
        <f t="shared" si="22"/>
        <v>399.664</v>
      </c>
      <c r="G158" s="163">
        <f t="shared" si="22"/>
        <v>347.399</v>
      </c>
      <c r="H158" s="232"/>
      <c r="I158" s="54">
        <f>J158+L158</f>
        <v>60.644</v>
      </c>
      <c r="J158" s="163">
        <v>60.644</v>
      </c>
      <c r="K158" s="163">
        <v>21.076</v>
      </c>
      <c r="L158" s="15"/>
      <c r="M158" s="322">
        <f>N158+P158</f>
        <v>121.3</v>
      </c>
      <c r="N158" s="163">
        <v>121.3</v>
      </c>
      <c r="O158" s="163">
        <v>119.566</v>
      </c>
      <c r="P158" s="232"/>
      <c r="Q158" s="54">
        <f t="shared" si="15"/>
        <v>211.22</v>
      </c>
      <c r="R158" s="163">
        <v>211.22</v>
      </c>
      <c r="S158" s="163">
        <v>206.757</v>
      </c>
      <c r="T158" s="15"/>
      <c r="U158" s="54">
        <f t="shared" si="16"/>
        <v>6.5</v>
      </c>
      <c r="V158" s="163">
        <v>6.5</v>
      </c>
      <c r="W158" s="163"/>
      <c r="X158" s="15"/>
    </row>
    <row r="159" spans="3:25" ht="12.75">
      <c r="C159" s="47">
        <v>148</v>
      </c>
      <c r="D159" s="35" t="s">
        <v>179</v>
      </c>
      <c r="E159" s="36">
        <f t="shared" si="22"/>
        <v>473.453</v>
      </c>
      <c r="F159" s="49">
        <f t="shared" si="22"/>
        <v>473.453</v>
      </c>
      <c r="G159" s="38">
        <f t="shared" si="22"/>
        <v>443.236</v>
      </c>
      <c r="H159" s="39"/>
      <c r="I159" s="215">
        <f t="shared" si="23"/>
        <v>415.501</v>
      </c>
      <c r="J159" s="16">
        <v>415.501</v>
      </c>
      <c r="K159" s="16">
        <v>399.376</v>
      </c>
      <c r="L159" s="214"/>
      <c r="M159" s="322">
        <f>N159+P159</f>
        <v>6.21</v>
      </c>
      <c r="N159" s="16">
        <v>6.21</v>
      </c>
      <c r="O159" s="16">
        <v>6.122</v>
      </c>
      <c r="P159" s="212"/>
      <c r="Q159" s="215">
        <f t="shared" si="15"/>
        <v>21.242</v>
      </c>
      <c r="R159" s="16">
        <v>21.242</v>
      </c>
      <c r="S159" s="16">
        <v>20.938</v>
      </c>
      <c r="T159" s="11"/>
      <c r="U159" s="215">
        <f>+V159+X159</f>
        <v>30.5</v>
      </c>
      <c r="V159" s="16">
        <v>30.5</v>
      </c>
      <c r="W159" s="16">
        <v>16.8</v>
      </c>
      <c r="X159" s="11"/>
      <c r="Y159" s="9"/>
    </row>
    <row r="160" spans="3:25" ht="12.75">
      <c r="C160" s="47">
        <v>149</v>
      </c>
      <c r="D160" s="35" t="s">
        <v>77</v>
      </c>
      <c r="E160" s="36">
        <f t="shared" si="22"/>
        <v>151.598</v>
      </c>
      <c r="F160" s="49">
        <f t="shared" si="22"/>
        <v>151.598</v>
      </c>
      <c r="G160" s="38">
        <f t="shared" si="22"/>
        <v>142.112</v>
      </c>
      <c r="H160" s="39"/>
      <c r="I160" s="215">
        <f t="shared" si="23"/>
        <v>124.608</v>
      </c>
      <c r="J160" s="16">
        <v>124.608</v>
      </c>
      <c r="K160" s="16">
        <v>121.615</v>
      </c>
      <c r="L160" s="214"/>
      <c r="M160" s="322">
        <f>N160+P160</f>
        <v>0.99</v>
      </c>
      <c r="N160" s="16">
        <v>0.99</v>
      </c>
      <c r="O160" s="16">
        <v>0.976</v>
      </c>
      <c r="P160" s="212"/>
      <c r="Q160" s="215">
        <f t="shared" si="15"/>
        <v>12.5</v>
      </c>
      <c r="R160" s="16">
        <v>12.5</v>
      </c>
      <c r="S160" s="16">
        <v>12.321</v>
      </c>
      <c r="T160" s="11"/>
      <c r="U160" s="215">
        <f>V160+X160</f>
        <v>13.5</v>
      </c>
      <c r="V160" s="16">
        <v>13.5</v>
      </c>
      <c r="W160" s="16">
        <v>7.2</v>
      </c>
      <c r="X160" s="11"/>
      <c r="Y160" s="9"/>
    </row>
    <row r="161" spans="3:25" ht="12.75">
      <c r="C161" s="47">
        <v>150</v>
      </c>
      <c r="D161" s="857" t="s">
        <v>68</v>
      </c>
      <c r="E161" s="36">
        <f t="shared" si="22"/>
        <v>111.761</v>
      </c>
      <c r="F161" s="49">
        <f t="shared" si="22"/>
        <v>111.761</v>
      </c>
      <c r="G161" s="38">
        <f t="shared" si="22"/>
        <v>78.895</v>
      </c>
      <c r="H161" s="39"/>
      <c r="I161" s="215">
        <f t="shared" si="23"/>
        <v>88.761</v>
      </c>
      <c r="J161" s="16">
        <v>88.761</v>
      </c>
      <c r="K161" s="16">
        <v>78.895</v>
      </c>
      <c r="L161" s="214"/>
      <c r="M161" s="273"/>
      <c r="N161" s="16"/>
      <c r="O161" s="16"/>
      <c r="P161" s="212"/>
      <c r="Q161" s="215"/>
      <c r="R161" s="16"/>
      <c r="S161" s="16"/>
      <c r="T161" s="11"/>
      <c r="U161" s="215">
        <f>V161+X161</f>
        <v>23</v>
      </c>
      <c r="V161" s="16">
        <v>23</v>
      </c>
      <c r="W161" s="16"/>
      <c r="X161" s="11"/>
      <c r="Y161" s="9"/>
    </row>
    <row r="162" spans="3:25" ht="12.75">
      <c r="C162" s="47">
        <v>151</v>
      </c>
      <c r="D162" s="857" t="s">
        <v>69</v>
      </c>
      <c r="E162" s="36">
        <f t="shared" si="22"/>
        <v>125.654</v>
      </c>
      <c r="F162" s="49">
        <f t="shared" si="22"/>
        <v>125.654</v>
      </c>
      <c r="G162" s="38">
        <f t="shared" si="22"/>
        <v>120.003</v>
      </c>
      <c r="H162" s="39"/>
      <c r="I162" s="215">
        <f t="shared" si="23"/>
        <v>44.391</v>
      </c>
      <c r="J162" s="16">
        <v>44.391</v>
      </c>
      <c r="K162" s="16">
        <v>40.887</v>
      </c>
      <c r="L162" s="214"/>
      <c r="M162" s="273"/>
      <c r="N162" s="16"/>
      <c r="O162" s="16"/>
      <c r="P162" s="212"/>
      <c r="Q162" s="215">
        <f t="shared" si="15"/>
        <v>80.263</v>
      </c>
      <c r="R162" s="16">
        <v>80.263</v>
      </c>
      <c r="S162" s="16">
        <v>79.116</v>
      </c>
      <c r="T162" s="11"/>
      <c r="U162" s="215">
        <f>V162+X162</f>
        <v>1</v>
      </c>
      <c r="V162" s="16">
        <v>1</v>
      </c>
      <c r="W162" s="16"/>
      <c r="X162" s="11"/>
      <c r="Y162" s="9"/>
    </row>
    <row r="163" spans="3:25" ht="12.75">
      <c r="C163" s="47">
        <v>152</v>
      </c>
      <c r="D163" s="58" t="s">
        <v>180</v>
      </c>
      <c r="E163" s="36">
        <f t="shared" si="22"/>
        <v>344.27400000000006</v>
      </c>
      <c r="F163" s="49">
        <f>+J163+N163+R163+V163</f>
        <v>344.27400000000006</v>
      </c>
      <c r="G163" s="38">
        <f t="shared" si="22"/>
        <v>291.11199999999997</v>
      </c>
      <c r="H163" s="39"/>
      <c r="I163" s="273">
        <f t="shared" si="23"/>
        <v>259.708</v>
      </c>
      <c r="J163" s="276">
        <v>259.708</v>
      </c>
      <c r="K163" s="276">
        <v>226.438</v>
      </c>
      <c r="L163" s="333"/>
      <c r="M163" s="322">
        <f>N163+P163</f>
        <v>3.35</v>
      </c>
      <c r="N163" s="16">
        <v>3.35</v>
      </c>
      <c r="O163" s="16">
        <v>3.302</v>
      </c>
      <c r="P163" s="212"/>
      <c r="Q163" s="215">
        <f t="shared" si="15"/>
        <v>62.563</v>
      </c>
      <c r="R163" s="16">
        <v>62.563</v>
      </c>
      <c r="S163" s="16">
        <v>59.54</v>
      </c>
      <c r="T163" s="11"/>
      <c r="U163" s="215">
        <f>V163+X163</f>
        <v>18.653</v>
      </c>
      <c r="V163" s="16">
        <v>18.653</v>
      </c>
      <c r="W163" s="16">
        <v>1.832</v>
      </c>
      <c r="X163" s="11"/>
      <c r="Y163" s="9"/>
    </row>
    <row r="164" spans="3:25" ht="15" customHeight="1" thickBot="1">
      <c r="C164" s="47">
        <v>153</v>
      </c>
      <c r="D164" s="74" t="s">
        <v>304</v>
      </c>
      <c r="E164" s="854">
        <f t="shared" si="22"/>
        <v>406.308</v>
      </c>
      <c r="F164" s="75">
        <f t="shared" si="22"/>
        <v>406.308</v>
      </c>
      <c r="G164" s="76">
        <f t="shared" si="22"/>
        <v>353.68399999999997</v>
      </c>
      <c r="H164" s="329"/>
      <c r="I164" s="279">
        <f t="shared" si="23"/>
        <v>260.642</v>
      </c>
      <c r="J164" s="277">
        <v>260.642</v>
      </c>
      <c r="K164" s="277">
        <v>222.093</v>
      </c>
      <c r="L164" s="280"/>
      <c r="M164" s="279"/>
      <c r="N164" s="277"/>
      <c r="O164" s="277"/>
      <c r="P164" s="278"/>
      <c r="Q164" s="215">
        <f t="shared" si="15"/>
        <v>135.466</v>
      </c>
      <c r="R164" s="16">
        <v>135.466</v>
      </c>
      <c r="S164" s="16">
        <v>131.591</v>
      </c>
      <c r="T164" s="11"/>
      <c r="U164" s="279">
        <f>V164+X164</f>
        <v>10.2</v>
      </c>
      <c r="V164" s="281">
        <v>10.2</v>
      </c>
      <c r="W164" s="277"/>
      <c r="X164" s="282"/>
      <c r="Y164" s="9"/>
    </row>
    <row r="165" spans="3:25" ht="13.5" customHeight="1" hidden="1" thickBot="1">
      <c r="C165" s="80">
        <v>152</v>
      </c>
      <c r="D165" s="240" t="s">
        <v>87</v>
      </c>
      <c r="E165" s="68">
        <f t="shared" si="22"/>
        <v>14210.395020000002</v>
      </c>
      <c r="F165" s="69">
        <f t="shared" si="22"/>
        <v>14192.59502</v>
      </c>
      <c r="G165" s="70">
        <f t="shared" si="22"/>
        <v>12150.518</v>
      </c>
      <c r="H165" s="71">
        <f t="shared" si="22"/>
        <v>17.8</v>
      </c>
      <c r="I165" s="81">
        <f>J165+L165</f>
        <v>6683.097000000001</v>
      </c>
      <c r="J165" s="82">
        <f>SUM(J134:J164)</f>
        <v>6683.097000000001</v>
      </c>
      <c r="K165" s="82">
        <f>SUM(K134:K164)</f>
        <v>5514.392999999999</v>
      </c>
      <c r="L165" s="83"/>
      <c r="M165" s="84">
        <f>N165+P165</f>
        <v>183.29802</v>
      </c>
      <c r="N165" s="82">
        <f>SUM(N134:N164)+N80</f>
        <v>183.29802</v>
      </c>
      <c r="O165" s="82">
        <f>SUM(O134:O164)+O80</f>
        <v>137.193</v>
      </c>
      <c r="P165" s="85"/>
      <c r="Q165" s="81">
        <f>R165+T165</f>
        <v>6707.6</v>
      </c>
      <c r="R165" s="82">
        <f>SUM(R134:R164)+R80+R116</f>
        <v>6702.3</v>
      </c>
      <c r="S165" s="82">
        <f>SUM(S134:S164)+S80+S116</f>
        <v>6467.126</v>
      </c>
      <c r="T165" s="83">
        <f>SUM(T134:T164)+T80+T116</f>
        <v>5.3</v>
      </c>
      <c r="U165" s="81">
        <f>U80+SUM(U134:U164)</f>
        <v>636.4000000000001</v>
      </c>
      <c r="V165" s="82">
        <f>SUM(V134:V164)+V80</f>
        <v>623.9000000000001</v>
      </c>
      <c r="W165" s="82">
        <f>SUM(W134:W164)+W80</f>
        <v>31.806</v>
      </c>
      <c r="X165" s="86">
        <f>SUM(X134:X164)</f>
        <v>12.5</v>
      </c>
      <c r="Y165" s="9"/>
    </row>
    <row r="166" spans="3:25" ht="13.5" thickBot="1">
      <c r="C166" s="87">
        <v>154</v>
      </c>
      <c r="D166" s="88" t="s">
        <v>87</v>
      </c>
      <c r="E166" s="951">
        <f t="shared" si="22"/>
        <v>33113.056619999996</v>
      </c>
      <c r="F166" s="952">
        <f>+J166+N166+R166+V166</f>
        <v>31548.97402</v>
      </c>
      <c r="G166" s="283">
        <f t="shared" si="22"/>
        <v>20458.232</v>
      </c>
      <c r="H166" s="961">
        <f t="shared" si="22"/>
        <v>1564.0826</v>
      </c>
      <c r="I166" s="90">
        <f>J166+L166</f>
        <v>19466.5</v>
      </c>
      <c r="J166" s="283">
        <f>J133+J165</f>
        <v>19191.5</v>
      </c>
      <c r="K166" s="283">
        <f>K133+K165</f>
        <v>11642.378</v>
      </c>
      <c r="L166" s="284">
        <f>L133+L165</f>
        <v>275</v>
      </c>
      <c r="M166" s="953">
        <f>N166+P166</f>
        <v>5527.7586200000005</v>
      </c>
      <c r="N166" s="954">
        <f>N133+N165</f>
        <v>4280.57602</v>
      </c>
      <c r="O166" s="283">
        <f>O133+O165</f>
        <v>1987.9419999999998</v>
      </c>
      <c r="P166" s="960">
        <f>P133+P165</f>
        <v>1247.1826</v>
      </c>
      <c r="Q166" s="285">
        <f>Q165</f>
        <v>6707.6</v>
      </c>
      <c r="R166" s="286">
        <f>R165</f>
        <v>6702.3</v>
      </c>
      <c r="S166" s="286">
        <f>S165</f>
        <v>6467.126</v>
      </c>
      <c r="T166" s="284">
        <f>T165</f>
        <v>5.3</v>
      </c>
      <c r="U166" s="285">
        <f>U133+U165</f>
        <v>1411.198</v>
      </c>
      <c r="V166" s="286">
        <f>V133+V165</f>
        <v>1374.598</v>
      </c>
      <c r="W166" s="286">
        <f>W133+W165</f>
        <v>360.78599999999994</v>
      </c>
      <c r="X166" s="284">
        <f>X133+X165</f>
        <v>36.6</v>
      </c>
      <c r="Y166" s="9"/>
    </row>
    <row r="167" spans="9:25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9:25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4:25" ht="12.75">
      <c r="D169" s="6" t="s">
        <v>181</v>
      </c>
      <c r="I169" s="9"/>
      <c r="J169" s="9"/>
      <c r="K169" s="9"/>
      <c r="L169" s="9"/>
      <c r="M169" s="926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4:25" ht="25.5">
      <c r="D170" s="809" t="s">
        <v>673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4:25" ht="12.75">
      <c r="D171" s="97" t="s">
        <v>303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>
      <c r="D172" s="6" t="s">
        <v>182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7" t="s">
        <v>70</v>
      </c>
    </row>
    <row r="3" spans="3:22" ht="12.75">
      <c r="C3" s="1015" t="s">
        <v>284</v>
      </c>
      <c r="D3" s="1015"/>
      <c r="E3" s="1015"/>
      <c r="F3" s="1015"/>
      <c r="G3" s="1015"/>
      <c r="H3" s="1015"/>
      <c r="I3" s="1015"/>
      <c r="J3" s="1015"/>
      <c r="P3" s="17"/>
      <c r="R3" s="13" t="s">
        <v>285</v>
      </c>
      <c r="S3" s="4"/>
      <c r="T3" s="4"/>
      <c r="U3" s="5"/>
      <c r="V3" s="5"/>
    </row>
    <row r="4" spans="2:18" ht="12.75">
      <c r="B4" s="98"/>
      <c r="C4" s="1015" t="s">
        <v>183</v>
      </c>
      <c r="D4" s="1015"/>
      <c r="E4" s="1015"/>
      <c r="F4" s="1015"/>
      <c r="G4" s="1015"/>
      <c r="H4" s="1015"/>
      <c r="I4" s="1015"/>
      <c r="P4" s="13"/>
      <c r="Q4" s="4"/>
      <c r="R4" s="17" t="s">
        <v>184</v>
      </c>
    </row>
    <row r="5" spans="16:20" ht="13.5" thickBot="1">
      <c r="P5" s="17"/>
      <c r="T5" s="10" t="s">
        <v>185</v>
      </c>
    </row>
    <row r="6" spans="1:22" ht="12.75">
      <c r="A6" s="1035"/>
      <c r="B6" s="1036" t="s">
        <v>93</v>
      </c>
      <c r="C6" s="1039" t="s">
        <v>94</v>
      </c>
      <c r="D6" s="1042" t="s">
        <v>95</v>
      </c>
      <c r="E6" s="1042"/>
      <c r="F6" s="1043"/>
      <c r="G6" s="1039" t="s">
        <v>96</v>
      </c>
      <c r="H6" s="1042" t="s">
        <v>95</v>
      </c>
      <c r="I6" s="1042"/>
      <c r="J6" s="1030"/>
      <c r="K6" s="1046" t="s">
        <v>286</v>
      </c>
      <c r="L6" s="1042" t="s">
        <v>95</v>
      </c>
      <c r="M6" s="1042"/>
      <c r="N6" s="1043"/>
      <c r="O6" s="1046" t="s">
        <v>97</v>
      </c>
      <c r="P6" s="1042" t="s">
        <v>95</v>
      </c>
      <c r="Q6" s="1042"/>
      <c r="R6" s="1043"/>
      <c r="S6" s="1046" t="s">
        <v>98</v>
      </c>
      <c r="T6" s="1042" t="s">
        <v>95</v>
      </c>
      <c r="U6" s="1042"/>
      <c r="V6" s="1043"/>
    </row>
    <row r="7" spans="1:22" ht="12.75">
      <c r="A7" s="989"/>
      <c r="B7" s="1037"/>
      <c r="C7" s="1040"/>
      <c r="D7" s="1044" t="s">
        <v>99</v>
      </c>
      <c r="E7" s="1044"/>
      <c r="F7" s="1045" t="s">
        <v>100</v>
      </c>
      <c r="G7" s="1040"/>
      <c r="H7" s="1044" t="s">
        <v>99</v>
      </c>
      <c r="I7" s="1044"/>
      <c r="J7" s="1032" t="s">
        <v>100</v>
      </c>
      <c r="K7" s="1047"/>
      <c r="L7" s="1044" t="s">
        <v>99</v>
      </c>
      <c r="M7" s="1044"/>
      <c r="N7" s="1045" t="s">
        <v>100</v>
      </c>
      <c r="O7" s="1047"/>
      <c r="P7" s="1044" t="s">
        <v>99</v>
      </c>
      <c r="Q7" s="1044"/>
      <c r="R7" s="1045" t="s">
        <v>100</v>
      </c>
      <c r="S7" s="1047"/>
      <c r="T7" s="1044" t="s">
        <v>99</v>
      </c>
      <c r="U7" s="1044"/>
      <c r="V7" s="1045" t="s">
        <v>100</v>
      </c>
    </row>
    <row r="8" spans="1:22" ht="48.75" thickBot="1">
      <c r="A8" s="989"/>
      <c r="B8" s="1038"/>
      <c r="C8" s="1041"/>
      <c r="D8" s="99" t="s">
        <v>94</v>
      </c>
      <c r="E8" s="100" t="s">
        <v>101</v>
      </c>
      <c r="F8" s="1009"/>
      <c r="G8" s="1041"/>
      <c r="H8" s="99" t="s">
        <v>94</v>
      </c>
      <c r="I8" s="100" t="s">
        <v>101</v>
      </c>
      <c r="J8" s="1019"/>
      <c r="K8" s="1048"/>
      <c r="L8" s="99" t="s">
        <v>94</v>
      </c>
      <c r="M8" s="100" t="s">
        <v>101</v>
      </c>
      <c r="N8" s="1009"/>
      <c r="O8" s="1048"/>
      <c r="P8" s="99" t="s">
        <v>94</v>
      </c>
      <c r="Q8" s="100" t="s">
        <v>101</v>
      </c>
      <c r="R8" s="1009"/>
      <c r="S8" s="1048"/>
      <c r="T8" s="99" t="s">
        <v>94</v>
      </c>
      <c r="U8" s="100" t="s">
        <v>101</v>
      </c>
      <c r="V8" s="1009"/>
    </row>
    <row r="9" spans="1:22" ht="30.75" thickBot="1">
      <c r="A9" s="101">
        <v>1</v>
      </c>
      <c r="B9" s="102" t="s">
        <v>186</v>
      </c>
      <c r="C9" s="92">
        <f aca="true" t="shared" si="0" ref="C9:F25">G9+K9+O9+S9</f>
        <v>0</v>
      </c>
      <c r="D9" s="89">
        <f t="shared" si="0"/>
        <v>0</v>
      </c>
      <c r="E9" s="89">
        <f t="shared" si="0"/>
        <v>0</v>
      </c>
      <c r="F9" s="92">
        <f t="shared" si="0"/>
        <v>0</v>
      </c>
      <c r="G9" s="103">
        <f>G13+G17+G18+G20+G25+G28+G31+SUM(G33:G43)+G23+G10</f>
        <v>0</v>
      </c>
      <c r="H9" s="104">
        <f>H13+H17+H18+H20+H25+H28+H31+SUM(H33:H43)+H23+H10</f>
        <v>0</v>
      </c>
      <c r="I9" s="104">
        <f>I13+I17+I18+I20+I25+I28+I31+SUM(I33:I43)+I23+I10</f>
        <v>0</v>
      </c>
      <c r="J9" s="105">
        <f>J13+J17+J18+J20+J25+J28+J31+SUM(J33:J43)+J23+J10</f>
        <v>0</v>
      </c>
      <c r="K9" s="104">
        <f>K13+K17+K18+K20+K25+K28+K31+SUM(K33:K43)</f>
        <v>0</v>
      </c>
      <c r="L9" s="89">
        <f>L13+L18+SUM(L33:L43)</f>
        <v>0</v>
      </c>
      <c r="M9" s="89">
        <f>M13+M17+M18+M20+M25+M28+M31+SUM(M33:M43)</f>
        <v>0</v>
      </c>
      <c r="N9" s="93"/>
      <c r="O9" s="103"/>
      <c r="P9" s="89"/>
      <c r="Q9" s="89"/>
      <c r="R9" s="95"/>
      <c r="S9" s="103">
        <f>S13+S17+S18+S20+S25+S28+S31+SUM(S33:S43)</f>
        <v>0</v>
      </c>
      <c r="T9" s="89">
        <f>T20+SUM(T34:T43)</f>
        <v>0</v>
      </c>
      <c r="U9" s="89">
        <f>U20+SUM(U34:U43)</f>
        <v>0</v>
      </c>
      <c r="V9" s="95"/>
    </row>
    <row r="10" spans="1:22" ht="12.75">
      <c r="A10" s="106">
        <v>2</v>
      </c>
      <c r="B10" s="107" t="s">
        <v>102</v>
      </c>
      <c r="C10" s="108">
        <f t="shared" si="0"/>
        <v>0</v>
      </c>
      <c r="D10" s="108">
        <f>H10+L10+P10+T10</f>
        <v>0</v>
      </c>
      <c r="E10" s="108">
        <f>I10+M10+Q10+U10</f>
        <v>0</v>
      </c>
      <c r="F10" s="109"/>
      <c r="G10" s="110">
        <f>G11+G12</f>
        <v>0</v>
      </c>
      <c r="H10" s="111">
        <f>H11+H12</f>
        <v>0</v>
      </c>
      <c r="I10" s="111">
        <f>I11+I12</f>
        <v>0</v>
      </c>
      <c r="J10" s="112"/>
      <c r="K10" s="108"/>
      <c r="L10" s="113"/>
      <c r="M10" s="113"/>
      <c r="N10" s="114"/>
      <c r="O10" s="115"/>
      <c r="P10" s="113"/>
      <c r="Q10" s="113"/>
      <c r="R10" s="116"/>
      <c r="S10" s="115"/>
      <c r="T10" s="113"/>
      <c r="U10" s="113"/>
      <c r="V10" s="116"/>
    </row>
    <row r="11" spans="1:22" ht="12.75">
      <c r="A11" s="106">
        <v>3</v>
      </c>
      <c r="B11" s="26" t="s">
        <v>103</v>
      </c>
      <c r="C11" s="27">
        <f t="shared" si="0"/>
        <v>0</v>
      </c>
      <c r="D11" s="27">
        <f>H11+L11+P11+T11</f>
        <v>0</v>
      </c>
      <c r="E11" s="27">
        <f>I11+M11+Q11+U11</f>
        <v>0</v>
      </c>
      <c r="F11" s="28"/>
      <c r="G11" s="29">
        <f>H11+J11</f>
        <v>0</v>
      </c>
      <c r="H11" s="30"/>
      <c r="I11" s="30"/>
      <c r="J11" s="116"/>
      <c r="K11" s="117"/>
      <c r="L11" s="113"/>
      <c r="M11" s="113"/>
      <c r="N11" s="117"/>
      <c r="O11" s="118"/>
      <c r="P11" s="113"/>
      <c r="Q11" s="113"/>
      <c r="R11" s="119"/>
      <c r="S11" s="118"/>
      <c r="T11" s="113"/>
      <c r="U11" s="113"/>
      <c r="V11" s="119"/>
    </row>
    <row r="12" spans="1:22" ht="12.75">
      <c r="A12" s="106">
        <v>4</v>
      </c>
      <c r="B12" s="31" t="s">
        <v>104</v>
      </c>
      <c r="C12" s="27">
        <f t="shared" si="0"/>
        <v>0</v>
      </c>
      <c r="D12" s="27">
        <f t="shared" si="0"/>
        <v>0</v>
      </c>
      <c r="E12" s="32">
        <f t="shared" si="0"/>
        <v>0</v>
      </c>
      <c r="F12" s="28"/>
      <c r="G12" s="29">
        <f>H12+J12</f>
        <v>0</v>
      </c>
      <c r="H12" s="33"/>
      <c r="I12" s="30"/>
      <c r="J12" s="116"/>
      <c r="K12" s="117"/>
      <c r="L12" s="113"/>
      <c r="M12" s="113"/>
      <c r="N12" s="117"/>
      <c r="O12" s="118"/>
      <c r="P12" s="113"/>
      <c r="Q12" s="113"/>
      <c r="R12" s="119"/>
      <c r="S12" s="118"/>
      <c r="T12" s="113"/>
      <c r="U12" s="113"/>
      <c r="V12" s="119"/>
    </row>
    <row r="13" spans="1:22" ht="12.75">
      <c r="A13" s="106">
        <v>5</v>
      </c>
      <c r="B13" s="120" t="s">
        <v>187</v>
      </c>
      <c r="C13" s="108">
        <f t="shared" si="0"/>
        <v>0</v>
      </c>
      <c r="D13" s="113">
        <f aca="true" t="shared" si="1" ref="D13:J13">SUM(D14:D16)</f>
        <v>0</v>
      </c>
      <c r="E13" s="113">
        <f t="shared" si="1"/>
        <v>0</v>
      </c>
      <c r="F13" s="114">
        <f t="shared" si="1"/>
        <v>0</v>
      </c>
      <c r="G13" s="115">
        <f t="shared" si="1"/>
        <v>0</v>
      </c>
      <c r="H13" s="113">
        <f t="shared" si="1"/>
        <v>0</v>
      </c>
      <c r="I13" s="113">
        <f t="shared" si="1"/>
        <v>0</v>
      </c>
      <c r="J13" s="116">
        <f t="shared" si="1"/>
        <v>0</v>
      </c>
      <c r="K13" s="117">
        <f>K14+K15+K16</f>
        <v>0</v>
      </c>
      <c r="L13" s="38">
        <f>L14+L15+L16</f>
        <v>0</v>
      </c>
      <c r="M13" s="38">
        <f>M14+M15+M16</f>
        <v>0</v>
      </c>
      <c r="N13" s="117"/>
      <c r="O13" s="118"/>
      <c r="P13" s="113"/>
      <c r="Q13" s="113"/>
      <c r="R13" s="119"/>
      <c r="S13" s="118"/>
      <c r="T13" s="113"/>
      <c r="U13" s="113"/>
      <c r="V13" s="119"/>
    </row>
    <row r="14" spans="1:22" ht="12.75">
      <c r="A14" s="121">
        <f>+A13+1</f>
        <v>6</v>
      </c>
      <c r="B14" s="56" t="s">
        <v>188</v>
      </c>
      <c r="C14" s="27">
        <f t="shared" si="0"/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29">
        <f aca="true" t="shared" si="2" ref="G14:G24">H14+J14</f>
        <v>0</v>
      </c>
      <c r="H14" s="32"/>
      <c r="I14" s="122"/>
      <c r="J14" s="123"/>
      <c r="K14" s="27">
        <f>L14+N14</f>
        <v>0</v>
      </c>
      <c r="L14" s="124"/>
      <c r="M14" s="122"/>
      <c r="N14" s="125"/>
      <c r="O14" s="126"/>
      <c r="P14" s="124"/>
      <c r="Q14" s="124"/>
      <c r="R14" s="123"/>
      <c r="S14" s="29"/>
      <c r="T14" s="124"/>
      <c r="U14" s="124"/>
      <c r="V14" s="123"/>
    </row>
    <row r="15" spans="1:22" ht="12.75">
      <c r="A15" s="121">
        <v>7</v>
      </c>
      <c r="B15" s="56" t="s">
        <v>189</v>
      </c>
      <c r="C15" s="27">
        <f t="shared" si="0"/>
        <v>0</v>
      </c>
      <c r="D15" s="124">
        <f t="shared" si="0"/>
        <v>0</v>
      </c>
      <c r="E15" s="124"/>
      <c r="F15" s="114"/>
      <c r="G15" s="29">
        <f t="shared" si="2"/>
        <v>0</v>
      </c>
      <c r="H15" s="124"/>
      <c r="I15" s="124"/>
      <c r="J15" s="123"/>
      <c r="K15" s="36"/>
      <c r="L15" s="124"/>
      <c r="M15" s="124"/>
      <c r="N15" s="125"/>
      <c r="O15" s="126"/>
      <c r="P15" s="124"/>
      <c r="Q15" s="124"/>
      <c r="R15" s="123"/>
      <c r="S15" s="126"/>
      <c r="T15" s="124"/>
      <c r="U15" s="124"/>
      <c r="V15" s="123"/>
    </row>
    <row r="16" spans="1:22" ht="12.75">
      <c r="A16" s="121">
        <f>+A15+1</f>
        <v>8</v>
      </c>
      <c r="B16" s="56" t="s">
        <v>190</v>
      </c>
      <c r="C16" s="27">
        <f t="shared" si="0"/>
        <v>0</v>
      </c>
      <c r="D16" s="124">
        <f t="shared" si="0"/>
        <v>0</v>
      </c>
      <c r="E16" s="124"/>
      <c r="F16" s="114"/>
      <c r="G16" s="29">
        <f t="shared" si="2"/>
        <v>0</v>
      </c>
      <c r="H16" s="124"/>
      <c r="I16" s="124"/>
      <c r="J16" s="123"/>
      <c r="K16" s="36"/>
      <c r="L16" s="124"/>
      <c r="M16" s="124"/>
      <c r="N16" s="125"/>
      <c r="O16" s="126"/>
      <c r="P16" s="124"/>
      <c r="Q16" s="124"/>
      <c r="R16" s="123"/>
      <c r="S16" s="126"/>
      <c r="T16" s="124"/>
      <c r="U16" s="124"/>
      <c r="V16" s="123"/>
    </row>
    <row r="17" spans="1:22" ht="12.75">
      <c r="A17" s="121">
        <v>9</v>
      </c>
      <c r="B17" s="35" t="s">
        <v>191</v>
      </c>
      <c r="C17" s="36">
        <f t="shared" si="0"/>
        <v>0</v>
      </c>
      <c r="D17" s="38">
        <f t="shared" si="0"/>
        <v>0</v>
      </c>
      <c r="E17" s="38">
        <f>I17+M17+Q17+U17</f>
        <v>0</v>
      </c>
      <c r="F17" s="125"/>
      <c r="G17" s="40">
        <f t="shared" si="2"/>
        <v>0</v>
      </c>
      <c r="H17" s="38"/>
      <c r="I17" s="38"/>
      <c r="J17" s="123"/>
      <c r="K17" s="36"/>
      <c r="L17" s="124"/>
      <c r="M17" s="124"/>
      <c r="N17" s="125"/>
      <c r="O17" s="126"/>
      <c r="P17" s="124"/>
      <c r="Q17" s="124"/>
      <c r="R17" s="123"/>
      <c r="S17" s="126"/>
      <c r="T17" s="124"/>
      <c r="U17" s="124"/>
      <c r="V17" s="123"/>
    </row>
    <row r="18" spans="1:22" ht="12.75">
      <c r="A18" s="121">
        <v>10</v>
      </c>
      <c r="B18" s="35" t="s">
        <v>192</v>
      </c>
      <c r="C18" s="36">
        <f t="shared" si="0"/>
        <v>0</v>
      </c>
      <c r="D18" s="38">
        <f t="shared" si="0"/>
        <v>0</v>
      </c>
      <c r="E18" s="38"/>
      <c r="F18" s="125"/>
      <c r="G18" s="40"/>
      <c r="H18" s="127"/>
      <c r="I18" s="38"/>
      <c r="J18" s="128"/>
      <c r="K18" s="127">
        <f>K19</f>
        <v>0</v>
      </c>
      <c r="L18" s="38">
        <f>L19</f>
        <v>0</v>
      </c>
      <c r="M18" s="124"/>
      <c r="N18" s="125"/>
      <c r="O18" s="126"/>
      <c r="P18" s="124"/>
      <c r="Q18" s="124"/>
      <c r="R18" s="123"/>
      <c r="S18" s="126"/>
      <c r="T18" s="124"/>
      <c r="U18" s="124"/>
      <c r="V18" s="123"/>
    </row>
    <row r="19" spans="1:22" ht="12.75">
      <c r="A19" s="121">
        <v>11</v>
      </c>
      <c r="B19" s="56" t="s">
        <v>193</v>
      </c>
      <c r="C19" s="27">
        <f t="shared" si="0"/>
        <v>0</v>
      </c>
      <c r="D19" s="32">
        <f t="shared" si="0"/>
        <v>0</v>
      </c>
      <c r="E19" s="38"/>
      <c r="F19" s="125"/>
      <c r="G19" s="29"/>
      <c r="H19" s="53"/>
      <c r="I19" s="38"/>
      <c r="J19" s="128"/>
      <c r="K19" s="53">
        <f>L19+M19+N19</f>
        <v>0</v>
      </c>
      <c r="L19" s="124"/>
      <c r="M19" s="124"/>
      <c r="N19" s="125"/>
      <c r="O19" s="126"/>
      <c r="P19" s="124"/>
      <c r="Q19" s="124"/>
      <c r="R19" s="123"/>
      <c r="S19" s="126"/>
      <c r="T19" s="124"/>
      <c r="U19" s="124"/>
      <c r="V19" s="123"/>
    </row>
    <row r="20" spans="1:22" ht="12.75">
      <c r="A20" s="121">
        <v>12</v>
      </c>
      <c r="B20" s="35" t="s">
        <v>83</v>
      </c>
      <c r="C20" s="36">
        <f t="shared" si="0"/>
        <v>0</v>
      </c>
      <c r="D20" s="38">
        <f t="shared" si="0"/>
        <v>0</v>
      </c>
      <c r="E20" s="38"/>
      <c r="F20" s="39"/>
      <c r="G20" s="51">
        <f t="shared" si="2"/>
        <v>0</v>
      </c>
      <c r="H20" s="38">
        <f>H21+H22</f>
        <v>0</v>
      </c>
      <c r="I20" s="38"/>
      <c r="J20" s="52"/>
      <c r="K20" s="127"/>
      <c r="L20" s="38"/>
      <c r="M20" s="38"/>
      <c r="N20" s="127"/>
      <c r="O20" s="51"/>
      <c r="P20" s="38"/>
      <c r="Q20" s="38"/>
      <c r="R20" s="52"/>
      <c r="S20" s="51">
        <f>S21+S22</f>
        <v>0</v>
      </c>
      <c r="T20" s="38">
        <f>T21+T22</f>
        <v>0</v>
      </c>
      <c r="U20" s="38"/>
      <c r="V20" s="41"/>
    </row>
    <row r="21" spans="1:22" ht="12.75">
      <c r="A21" s="121">
        <v>13</v>
      </c>
      <c r="B21" s="56" t="s">
        <v>194</v>
      </c>
      <c r="C21" s="27">
        <f t="shared" si="0"/>
        <v>0</v>
      </c>
      <c r="D21" s="124">
        <f t="shared" si="0"/>
        <v>0</v>
      </c>
      <c r="E21" s="124"/>
      <c r="F21" s="125"/>
      <c r="G21" s="29">
        <f t="shared" si="2"/>
        <v>0</v>
      </c>
      <c r="H21" s="124"/>
      <c r="I21" s="124"/>
      <c r="J21" s="123"/>
      <c r="K21" s="36"/>
      <c r="L21" s="125"/>
      <c r="M21" s="124"/>
      <c r="N21" s="125"/>
      <c r="O21" s="126"/>
      <c r="P21" s="124"/>
      <c r="Q21" s="124"/>
      <c r="R21" s="123"/>
      <c r="S21" s="126"/>
      <c r="T21" s="124"/>
      <c r="U21" s="124"/>
      <c r="V21" s="123"/>
    </row>
    <row r="22" spans="1:22" ht="15.75">
      <c r="A22" s="121">
        <v>14</v>
      </c>
      <c r="B22" s="56" t="s">
        <v>195</v>
      </c>
      <c r="C22" s="27">
        <f t="shared" si="0"/>
        <v>0</v>
      </c>
      <c r="D22" s="124">
        <f t="shared" si="0"/>
        <v>0</v>
      </c>
      <c r="E22" s="124"/>
      <c r="F22" s="125"/>
      <c r="G22" s="129"/>
      <c r="H22" s="124"/>
      <c r="I22" s="124"/>
      <c r="J22" s="123"/>
      <c r="K22" s="130"/>
      <c r="L22" s="125"/>
      <c r="M22" s="124"/>
      <c r="N22" s="125"/>
      <c r="O22" s="126"/>
      <c r="P22" s="124"/>
      <c r="Q22" s="124"/>
      <c r="R22" s="123"/>
      <c r="S22" s="29">
        <f>T22+V22</f>
        <v>0</v>
      </c>
      <c r="T22" s="124"/>
      <c r="U22" s="124"/>
      <c r="V22" s="123"/>
    </row>
    <row r="23" spans="1:22" ht="12.75">
      <c r="A23" s="121">
        <v>15</v>
      </c>
      <c r="B23" s="35" t="s">
        <v>196</v>
      </c>
      <c r="C23" s="36">
        <f t="shared" si="0"/>
        <v>0</v>
      </c>
      <c r="D23" s="38">
        <f t="shared" si="0"/>
        <v>0</v>
      </c>
      <c r="E23" s="38">
        <f t="shared" si="0"/>
        <v>0</v>
      </c>
      <c r="F23" s="39"/>
      <c r="G23" s="40">
        <f t="shared" si="2"/>
        <v>0</v>
      </c>
      <c r="H23" s="38">
        <f>H24</f>
        <v>0</v>
      </c>
      <c r="I23" s="38">
        <f>I24</f>
        <v>0</v>
      </c>
      <c r="J23" s="128"/>
      <c r="K23" s="131"/>
      <c r="L23" s="125"/>
      <c r="M23" s="124"/>
      <c r="N23" s="125"/>
      <c r="O23" s="126"/>
      <c r="P23" s="124"/>
      <c r="Q23" s="124"/>
      <c r="R23" s="123"/>
      <c r="S23" s="126"/>
      <c r="T23" s="124"/>
      <c r="U23" s="124"/>
      <c r="V23" s="123"/>
    </row>
    <row r="24" spans="1:22" ht="12.75">
      <c r="A24" s="121">
        <v>16</v>
      </c>
      <c r="B24" s="56" t="s">
        <v>197</v>
      </c>
      <c r="C24" s="27">
        <f t="shared" si="0"/>
        <v>0</v>
      </c>
      <c r="D24" s="124">
        <f t="shared" si="0"/>
        <v>0</v>
      </c>
      <c r="E24" s="124">
        <f t="shared" si="0"/>
        <v>0</v>
      </c>
      <c r="F24" s="125"/>
      <c r="G24" s="29">
        <f t="shared" si="2"/>
        <v>0</v>
      </c>
      <c r="H24" s="124"/>
      <c r="I24" s="124"/>
      <c r="J24" s="128"/>
      <c r="K24" s="131"/>
      <c r="L24" s="125"/>
      <c r="M24" s="124"/>
      <c r="N24" s="125"/>
      <c r="O24" s="126"/>
      <c r="P24" s="124"/>
      <c r="Q24" s="124"/>
      <c r="R24" s="123"/>
      <c r="S24" s="126"/>
      <c r="T24" s="124"/>
      <c r="U24" s="124"/>
      <c r="V24" s="123"/>
    </row>
    <row r="25" spans="1:22" ht="12.75">
      <c r="A25" s="121">
        <v>17</v>
      </c>
      <c r="B25" s="35" t="s">
        <v>198</v>
      </c>
      <c r="C25" s="36">
        <f t="shared" si="0"/>
        <v>0</v>
      </c>
      <c r="D25" s="38">
        <f t="shared" si="0"/>
        <v>0</v>
      </c>
      <c r="E25" s="38"/>
      <c r="F25" s="39"/>
      <c r="G25" s="51">
        <f>G26+G27</f>
        <v>0</v>
      </c>
      <c r="H25" s="38">
        <f>H26+H27</f>
        <v>0</v>
      </c>
      <c r="I25" s="38"/>
      <c r="J25" s="52"/>
      <c r="K25" s="131"/>
      <c r="L25" s="124"/>
      <c r="M25" s="124"/>
      <c r="N25" s="125"/>
      <c r="O25" s="126"/>
      <c r="P25" s="124"/>
      <c r="Q25" s="124"/>
      <c r="R25" s="123"/>
      <c r="S25" s="126"/>
      <c r="T25" s="124"/>
      <c r="U25" s="124"/>
      <c r="V25" s="123"/>
    </row>
    <row r="26" spans="1:22" ht="24">
      <c r="A26" s="121">
        <v>18</v>
      </c>
      <c r="B26" s="132" t="s">
        <v>199</v>
      </c>
      <c r="C26" s="27">
        <f aca="true" t="shared" si="3" ref="C26:E54">G26+K26+O26+S26</f>
        <v>0</v>
      </c>
      <c r="D26" s="124">
        <f t="shared" si="3"/>
        <v>0</v>
      </c>
      <c r="E26" s="124"/>
      <c r="F26" s="125"/>
      <c r="G26" s="133">
        <f>H26+J26</f>
        <v>0</v>
      </c>
      <c r="H26" s="124"/>
      <c r="I26" s="124"/>
      <c r="J26" s="128"/>
      <c r="K26" s="131"/>
      <c r="L26" s="124"/>
      <c r="M26" s="124"/>
      <c r="N26" s="125"/>
      <c r="O26" s="126"/>
      <c r="P26" s="124"/>
      <c r="Q26" s="124"/>
      <c r="R26" s="123"/>
      <c r="S26" s="126"/>
      <c r="T26" s="124"/>
      <c r="U26" s="124"/>
      <c r="V26" s="123"/>
    </row>
    <row r="27" spans="1:22" ht="25.5">
      <c r="A27" s="121">
        <v>19</v>
      </c>
      <c r="B27" s="134" t="s">
        <v>200</v>
      </c>
      <c r="C27" s="27">
        <f t="shared" si="3"/>
        <v>0</v>
      </c>
      <c r="D27" s="124">
        <f t="shared" si="3"/>
        <v>0</v>
      </c>
      <c r="E27" s="124"/>
      <c r="F27" s="125"/>
      <c r="G27" s="133">
        <f>H27+J27</f>
        <v>0</v>
      </c>
      <c r="H27" s="124"/>
      <c r="I27" s="124"/>
      <c r="J27" s="128"/>
      <c r="K27" s="131"/>
      <c r="L27" s="124"/>
      <c r="M27" s="124"/>
      <c r="N27" s="125"/>
      <c r="O27" s="126"/>
      <c r="P27" s="124"/>
      <c r="Q27" s="124"/>
      <c r="R27" s="123"/>
      <c r="S27" s="126"/>
      <c r="T27" s="124"/>
      <c r="U27" s="124"/>
      <c r="V27" s="123"/>
    </row>
    <row r="28" spans="1:22" ht="12.75">
      <c r="A28" s="121">
        <f>+A27+1</f>
        <v>20</v>
      </c>
      <c r="B28" s="35" t="s">
        <v>201</v>
      </c>
      <c r="C28" s="36">
        <f t="shared" si="3"/>
        <v>0</v>
      </c>
      <c r="D28" s="38">
        <f t="shared" si="3"/>
        <v>0</v>
      </c>
      <c r="E28" s="124"/>
      <c r="F28" s="125"/>
      <c r="G28" s="51">
        <f>G29+G30</f>
        <v>0</v>
      </c>
      <c r="H28" s="38">
        <f>H29+H30</f>
        <v>0</v>
      </c>
      <c r="I28" s="124"/>
      <c r="J28" s="128"/>
      <c r="K28" s="131"/>
      <c r="L28" s="124"/>
      <c r="M28" s="124"/>
      <c r="N28" s="125"/>
      <c r="O28" s="126"/>
      <c r="P28" s="124"/>
      <c r="Q28" s="124"/>
      <c r="R28" s="123"/>
      <c r="S28" s="126"/>
      <c r="T28" s="124"/>
      <c r="U28" s="124"/>
      <c r="V28" s="123"/>
    </row>
    <row r="29" spans="1:22" ht="12.75">
      <c r="A29" s="121">
        <f>+A28+1</f>
        <v>21</v>
      </c>
      <c r="B29" s="135" t="s">
        <v>202</v>
      </c>
      <c r="C29" s="27">
        <f t="shared" si="3"/>
        <v>0</v>
      </c>
      <c r="D29" s="124">
        <f t="shared" si="3"/>
        <v>0</v>
      </c>
      <c r="E29" s="124"/>
      <c r="F29" s="125"/>
      <c r="G29" s="133">
        <f>H29+J29</f>
        <v>0</v>
      </c>
      <c r="H29" s="124"/>
      <c r="I29" s="124"/>
      <c r="J29" s="128"/>
      <c r="K29" s="131"/>
      <c r="L29" s="124"/>
      <c r="M29" s="124"/>
      <c r="N29" s="125"/>
      <c r="O29" s="126"/>
      <c r="P29" s="124"/>
      <c r="Q29" s="124"/>
      <c r="R29" s="123"/>
      <c r="S29" s="126"/>
      <c r="T29" s="124"/>
      <c r="U29" s="124"/>
      <c r="V29" s="123"/>
    </row>
    <row r="30" spans="1:22" ht="12.75">
      <c r="A30" s="121">
        <f>+A29+1</f>
        <v>22</v>
      </c>
      <c r="B30" s="56" t="s">
        <v>203</v>
      </c>
      <c r="C30" s="27">
        <f t="shared" si="3"/>
        <v>0</v>
      </c>
      <c r="D30" s="124">
        <f t="shared" si="3"/>
        <v>0</v>
      </c>
      <c r="E30" s="124"/>
      <c r="F30" s="125"/>
      <c r="G30" s="133">
        <f>H30+J30</f>
        <v>0</v>
      </c>
      <c r="H30" s="124"/>
      <c r="I30" s="124"/>
      <c r="J30" s="128"/>
      <c r="K30" s="131"/>
      <c r="L30" s="124"/>
      <c r="M30" s="124"/>
      <c r="N30" s="125"/>
      <c r="O30" s="126"/>
      <c r="P30" s="124"/>
      <c r="Q30" s="124"/>
      <c r="R30" s="123"/>
      <c r="S30" s="126"/>
      <c r="T30" s="124"/>
      <c r="U30" s="124"/>
      <c r="V30" s="123"/>
    </row>
    <row r="31" spans="1:22" ht="12.75">
      <c r="A31" s="121">
        <f>+A30+1</f>
        <v>23</v>
      </c>
      <c r="B31" s="35" t="s">
        <v>204</v>
      </c>
      <c r="C31" s="36">
        <f t="shared" si="3"/>
        <v>0</v>
      </c>
      <c r="D31" s="38">
        <f t="shared" si="3"/>
        <v>0</v>
      </c>
      <c r="E31" s="124"/>
      <c r="F31" s="125"/>
      <c r="G31" s="51">
        <f>H31</f>
        <v>0</v>
      </c>
      <c r="H31" s="38">
        <f>H32</f>
        <v>0</v>
      </c>
      <c r="I31" s="124"/>
      <c r="J31" s="128"/>
      <c r="K31" s="131"/>
      <c r="L31" s="124"/>
      <c r="M31" s="124"/>
      <c r="N31" s="125"/>
      <c r="O31" s="126"/>
      <c r="P31" s="124"/>
      <c r="Q31" s="124"/>
      <c r="R31" s="123"/>
      <c r="S31" s="126"/>
      <c r="T31" s="124"/>
      <c r="U31" s="124"/>
      <c r="V31" s="123"/>
    </row>
    <row r="32" spans="1:22" ht="12.75">
      <c r="A32" s="121">
        <f>+A31+1</f>
        <v>24</v>
      </c>
      <c r="B32" s="56" t="s">
        <v>205</v>
      </c>
      <c r="C32" s="27">
        <f t="shared" si="3"/>
        <v>0</v>
      </c>
      <c r="D32" s="124">
        <f t="shared" si="3"/>
        <v>0</v>
      </c>
      <c r="E32" s="124"/>
      <c r="F32" s="125"/>
      <c r="G32" s="126">
        <f aca="true" t="shared" si="4" ref="G32:G43">H32+J32</f>
        <v>0</v>
      </c>
      <c r="H32" s="124"/>
      <c r="I32" s="124"/>
      <c r="J32" s="123"/>
      <c r="K32" s="130"/>
      <c r="L32" s="124"/>
      <c r="M32" s="124"/>
      <c r="N32" s="125"/>
      <c r="O32" s="126"/>
      <c r="P32" s="124"/>
      <c r="Q32" s="124"/>
      <c r="R32" s="123"/>
      <c r="S32" s="126"/>
      <c r="T32" s="124"/>
      <c r="U32" s="124"/>
      <c r="V32" s="123"/>
    </row>
    <row r="33" spans="1:22" ht="12.75">
      <c r="A33" s="121">
        <v>25</v>
      </c>
      <c r="B33" s="35" t="s">
        <v>32</v>
      </c>
      <c r="C33" s="36">
        <f t="shared" si="3"/>
        <v>0</v>
      </c>
      <c r="D33" s="38">
        <f t="shared" si="3"/>
        <v>0</v>
      </c>
      <c r="E33" s="38">
        <f t="shared" si="3"/>
        <v>0</v>
      </c>
      <c r="F33" s="39"/>
      <c r="G33" s="40">
        <f t="shared" si="4"/>
        <v>0</v>
      </c>
      <c r="H33" s="38"/>
      <c r="I33" s="38"/>
      <c r="J33" s="41"/>
      <c r="K33" s="36">
        <f>L33+N33</f>
        <v>0</v>
      </c>
      <c r="L33" s="38"/>
      <c r="M33" s="46"/>
      <c r="N33" s="39"/>
      <c r="O33" s="40"/>
      <c r="P33" s="38"/>
      <c r="Q33" s="38"/>
      <c r="R33" s="41"/>
      <c r="S33" s="40"/>
      <c r="T33" s="38"/>
      <c r="U33" s="38"/>
      <c r="V33" s="41"/>
    </row>
    <row r="34" spans="1:22" ht="12.75">
      <c r="A34" s="121">
        <v>26</v>
      </c>
      <c r="B34" s="35" t="s">
        <v>42</v>
      </c>
      <c r="C34" s="36">
        <f t="shared" si="3"/>
        <v>0</v>
      </c>
      <c r="D34" s="38">
        <f t="shared" si="3"/>
        <v>0</v>
      </c>
      <c r="E34" s="38">
        <f t="shared" si="3"/>
        <v>0</v>
      </c>
      <c r="F34" s="39"/>
      <c r="G34" s="40">
        <f t="shared" si="4"/>
        <v>0</v>
      </c>
      <c r="H34" s="38"/>
      <c r="I34" s="38"/>
      <c r="J34" s="41"/>
      <c r="K34" s="36">
        <f aca="true" t="shared" si="5" ref="K34:K43">L34+N34</f>
        <v>0</v>
      </c>
      <c r="L34" s="38"/>
      <c r="M34" s="38"/>
      <c r="N34" s="43"/>
      <c r="O34" s="40"/>
      <c r="P34" s="38"/>
      <c r="Q34" s="38"/>
      <c r="R34" s="41"/>
      <c r="S34" s="40">
        <f aca="true" t="shared" si="6" ref="S34:S43">T34+V34</f>
        <v>0</v>
      </c>
      <c r="T34" s="38"/>
      <c r="U34" s="38"/>
      <c r="V34" s="45"/>
    </row>
    <row r="35" spans="1:22" ht="12.75">
      <c r="A35" s="121">
        <f aca="true" t="shared" si="7" ref="A35:A43">+A34+1</f>
        <v>27</v>
      </c>
      <c r="B35" s="35" t="s">
        <v>43</v>
      </c>
      <c r="C35" s="36">
        <f t="shared" si="3"/>
        <v>0</v>
      </c>
      <c r="D35" s="38">
        <f t="shared" si="3"/>
        <v>0</v>
      </c>
      <c r="E35" s="38">
        <f t="shared" si="3"/>
        <v>0</v>
      </c>
      <c r="F35" s="39"/>
      <c r="G35" s="40">
        <f t="shared" si="4"/>
        <v>0</v>
      </c>
      <c r="H35" s="38"/>
      <c r="I35" s="38"/>
      <c r="J35" s="45"/>
      <c r="K35" s="36">
        <f t="shared" si="5"/>
        <v>0</v>
      </c>
      <c r="L35" s="38"/>
      <c r="M35" s="38"/>
      <c r="N35" s="43"/>
      <c r="O35" s="40"/>
      <c r="P35" s="38"/>
      <c r="Q35" s="38"/>
      <c r="R35" s="41"/>
      <c r="S35" s="40">
        <f t="shared" si="6"/>
        <v>0</v>
      </c>
      <c r="T35" s="38"/>
      <c r="U35" s="38"/>
      <c r="V35" s="41"/>
    </row>
    <row r="36" spans="1:22" ht="12.75">
      <c r="A36" s="121">
        <f t="shared" si="7"/>
        <v>28</v>
      </c>
      <c r="B36" s="35" t="s">
        <v>44</v>
      </c>
      <c r="C36" s="36">
        <f t="shared" si="3"/>
        <v>0</v>
      </c>
      <c r="D36" s="38">
        <f t="shared" si="3"/>
        <v>0</v>
      </c>
      <c r="E36" s="38">
        <f t="shared" si="3"/>
        <v>0</v>
      </c>
      <c r="F36" s="39"/>
      <c r="G36" s="40">
        <f t="shared" si="4"/>
        <v>0</v>
      </c>
      <c r="H36" s="38"/>
      <c r="I36" s="38"/>
      <c r="J36" s="45"/>
      <c r="K36" s="36">
        <f t="shared" si="5"/>
        <v>0</v>
      </c>
      <c r="L36" s="38"/>
      <c r="M36" s="38"/>
      <c r="N36" s="43"/>
      <c r="O36" s="40"/>
      <c r="P36" s="38"/>
      <c r="Q36" s="38"/>
      <c r="R36" s="41"/>
      <c r="S36" s="40">
        <f t="shared" si="6"/>
        <v>0</v>
      </c>
      <c r="T36" s="38"/>
      <c r="U36" s="38"/>
      <c r="V36" s="45"/>
    </row>
    <row r="37" spans="1:22" ht="12.75">
      <c r="A37" s="121">
        <f t="shared" si="7"/>
        <v>29</v>
      </c>
      <c r="B37" s="35" t="s">
        <v>45</v>
      </c>
      <c r="C37" s="36">
        <f t="shared" si="3"/>
        <v>0</v>
      </c>
      <c r="D37" s="38">
        <f t="shared" si="3"/>
        <v>0</v>
      </c>
      <c r="E37" s="38">
        <f t="shared" si="3"/>
        <v>0</v>
      </c>
      <c r="F37" s="39"/>
      <c r="G37" s="40">
        <f t="shared" si="4"/>
        <v>0</v>
      </c>
      <c r="H37" s="38"/>
      <c r="I37" s="38"/>
      <c r="J37" s="45"/>
      <c r="K37" s="36">
        <f t="shared" si="5"/>
        <v>0</v>
      </c>
      <c r="L37" s="38"/>
      <c r="M37" s="38"/>
      <c r="N37" s="43"/>
      <c r="O37" s="40"/>
      <c r="P37" s="38"/>
      <c r="Q37" s="38"/>
      <c r="R37" s="41"/>
      <c r="S37" s="40">
        <f t="shared" si="6"/>
        <v>0</v>
      </c>
      <c r="T37" s="38"/>
      <c r="U37" s="38"/>
      <c r="V37" s="45"/>
    </row>
    <row r="38" spans="1:22" ht="12.75">
      <c r="A38" s="121">
        <f t="shared" si="7"/>
        <v>30</v>
      </c>
      <c r="B38" s="35" t="s">
        <v>46</v>
      </c>
      <c r="C38" s="36">
        <f t="shared" si="3"/>
        <v>0</v>
      </c>
      <c r="D38" s="38">
        <f t="shared" si="3"/>
        <v>0</v>
      </c>
      <c r="E38" s="38">
        <f t="shared" si="3"/>
        <v>0</v>
      </c>
      <c r="F38" s="39"/>
      <c r="G38" s="40">
        <f t="shared" si="4"/>
        <v>0</v>
      </c>
      <c r="H38" s="38"/>
      <c r="I38" s="38"/>
      <c r="J38" s="45"/>
      <c r="K38" s="36">
        <f t="shared" si="5"/>
        <v>0</v>
      </c>
      <c r="L38" s="38"/>
      <c r="M38" s="38"/>
      <c r="N38" s="43"/>
      <c r="O38" s="40"/>
      <c r="P38" s="38"/>
      <c r="Q38" s="38"/>
      <c r="R38" s="41"/>
      <c r="S38" s="40">
        <f t="shared" si="6"/>
        <v>0</v>
      </c>
      <c r="T38" s="38"/>
      <c r="U38" s="38"/>
      <c r="V38" s="45"/>
    </row>
    <row r="39" spans="1:22" ht="12.75">
      <c r="A39" s="121">
        <f t="shared" si="7"/>
        <v>31</v>
      </c>
      <c r="B39" s="35" t="s">
        <v>47</v>
      </c>
      <c r="C39" s="36">
        <f t="shared" si="3"/>
        <v>0</v>
      </c>
      <c r="D39" s="38">
        <f t="shared" si="3"/>
        <v>0</v>
      </c>
      <c r="E39" s="38">
        <f t="shared" si="3"/>
        <v>0</v>
      </c>
      <c r="F39" s="39"/>
      <c r="G39" s="40">
        <f t="shared" si="4"/>
        <v>0</v>
      </c>
      <c r="H39" s="38"/>
      <c r="I39" s="38"/>
      <c r="J39" s="41"/>
      <c r="K39" s="36">
        <f t="shared" si="5"/>
        <v>0</v>
      </c>
      <c r="L39" s="38"/>
      <c r="M39" s="38"/>
      <c r="N39" s="43"/>
      <c r="O39" s="40"/>
      <c r="P39" s="38"/>
      <c r="Q39" s="38"/>
      <c r="R39" s="41"/>
      <c r="S39" s="40">
        <f t="shared" si="6"/>
        <v>0</v>
      </c>
      <c r="T39" s="38"/>
      <c r="U39" s="38"/>
      <c r="V39" s="45"/>
    </row>
    <row r="40" spans="1:22" ht="12.75">
      <c r="A40" s="121">
        <f t="shared" si="7"/>
        <v>32</v>
      </c>
      <c r="B40" s="35" t="s">
        <v>48</v>
      </c>
      <c r="C40" s="36">
        <f t="shared" si="3"/>
        <v>0</v>
      </c>
      <c r="D40" s="38">
        <f t="shared" si="3"/>
        <v>0</v>
      </c>
      <c r="E40" s="38">
        <f t="shared" si="3"/>
        <v>0</v>
      </c>
      <c r="F40" s="39"/>
      <c r="G40" s="40">
        <f t="shared" si="4"/>
        <v>0</v>
      </c>
      <c r="H40" s="38"/>
      <c r="I40" s="38"/>
      <c r="J40" s="45"/>
      <c r="K40" s="36">
        <f t="shared" si="5"/>
        <v>0</v>
      </c>
      <c r="L40" s="38"/>
      <c r="M40" s="38"/>
      <c r="N40" s="43"/>
      <c r="O40" s="40"/>
      <c r="P40" s="38"/>
      <c r="Q40" s="38"/>
      <c r="R40" s="41"/>
      <c r="S40" s="40">
        <f t="shared" si="6"/>
        <v>0</v>
      </c>
      <c r="T40" s="38"/>
      <c r="U40" s="38"/>
      <c r="V40" s="45"/>
    </row>
    <row r="41" spans="1:22" ht="12.75">
      <c r="A41" s="121">
        <f t="shared" si="7"/>
        <v>33</v>
      </c>
      <c r="B41" s="35" t="s">
        <v>49</v>
      </c>
      <c r="C41" s="36">
        <f t="shared" si="3"/>
        <v>0</v>
      </c>
      <c r="D41" s="38">
        <f t="shared" si="3"/>
        <v>0</v>
      </c>
      <c r="E41" s="38">
        <f t="shared" si="3"/>
        <v>0</v>
      </c>
      <c r="F41" s="39"/>
      <c r="G41" s="40">
        <f t="shared" si="4"/>
        <v>0</v>
      </c>
      <c r="H41" s="38"/>
      <c r="I41" s="38"/>
      <c r="J41" s="45"/>
      <c r="K41" s="36">
        <f t="shared" si="5"/>
        <v>0</v>
      </c>
      <c r="L41" s="38"/>
      <c r="M41" s="38"/>
      <c r="N41" s="43"/>
      <c r="O41" s="40"/>
      <c r="P41" s="38"/>
      <c r="Q41" s="38"/>
      <c r="R41" s="41"/>
      <c r="S41" s="40">
        <f t="shared" si="6"/>
        <v>0</v>
      </c>
      <c r="T41" s="38"/>
      <c r="U41" s="38"/>
      <c r="V41" s="45"/>
    </row>
    <row r="42" spans="1:22" ht="12.75">
      <c r="A42" s="121">
        <f t="shared" si="7"/>
        <v>34</v>
      </c>
      <c r="B42" s="35" t="s">
        <v>73</v>
      </c>
      <c r="C42" s="36">
        <f t="shared" si="3"/>
        <v>0</v>
      </c>
      <c r="D42" s="38">
        <f t="shared" si="3"/>
        <v>0</v>
      </c>
      <c r="E42" s="38">
        <f t="shared" si="3"/>
        <v>0</v>
      </c>
      <c r="F42" s="39"/>
      <c r="G42" s="40">
        <f t="shared" si="4"/>
        <v>0</v>
      </c>
      <c r="H42" s="38"/>
      <c r="I42" s="38"/>
      <c r="J42" s="41"/>
      <c r="K42" s="36">
        <f t="shared" si="5"/>
        <v>0</v>
      </c>
      <c r="L42" s="38"/>
      <c r="M42" s="38"/>
      <c r="N42" s="43"/>
      <c r="O42" s="40"/>
      <c r="P42" s="38"/>
      <c r="Q42" s="38"/>
      <c r="R42" s="41"/>
      <c r="S42" s="40">
        <f t="shared" si="6"/>
        <v>0</v>
      </c>
      <c r="T42" s="38"/>
      <c r="U42" s="38"/>
      <c r="V42" s="45"/>
    </row>
    <row r="43" spans="1:22" ht="13.5" thickBot="1">
      <c r="A43" s="136">
        <f t="shared" si="7"/>
        <v>35</v>
      </c>
      <c r="B43" s="74" t="s">
        <v>51</v>
      </c>
      <c r="C43" s="59">
        <f t="shared" si="3"/>
        <v>0</v>
      </c>
      <c r="D43" s="60">
        <f t="shared" si="3"/>
        <v>0</v>
      </c>
      <c r="E43" s="60">
        <f t="shared" si="3"/>
        <v>0</v>
      </c>
      <c r="F43" s="61"/>
      <c r="G43" s="77">
        <f t="shared" si="4"/>
        <v>0</v>
      </c>
      <c r="H43" s="76"/>
      <c r="I43" s="76"/>
      <c r="J43" s="78"/>
      <c r="K43" s="59">
        <f t="shared" si="5"/>
        <v>0</v>
      </c>
      <c r="L43" s="60"/>
      <c r="M43" s="60"/>
      <c r="N43" s="64"/>
      <c r="O43" s="77"/>
      <c r="P43" s="76"/>
      <c r="Q43" s="76"/>
      <c r="R43" s="79"/>
      <c r="S43" s="77">
        <f t="shared" si="6"/>
        <v>0</v>
      </c>
      <c r="T43" s="76"/>
      <c r="U43" s="76"/>
      <c r="V43" s="78"/>
    </row>
    <row r="44" spans="1:22" ht="30.75" thickBot="1">
      <c r="A44" s="101">
        <v>36</v>
      </c>
      <c r="B44" s="102" t="s">
        <v>206</v>
      </c>
      <c r="C44" s="103">
        <f t="shared" si="3"/>
        <v>12628.068999999998</v>
      </c>
      <c r="D44" s="89">
        <f t="shared" si="3"/>
        <v>12616.249999999998</v>
      </c>
      <c r="E44" s="89">
        <f t="shared" si="3"/>
        <v>8198.461999999998</v>
      </c>
      <c r="F44" s="95">
        <f>J44+N44+R44+V44</f>
        <v>11.819</v>
      </c>
      <c r="G44" s="104">
        <f>G45+SUM(G55:G85)+SUM(G86:G98)-G90</f>
        <v>5756.881</v>
      </c>
      <c r="H44" s="89">
        <f>H45+SUM(H55:H85)+SUM(H86:H98)-H90</f>
        <v>5747.062000000001</v>
      </c>
      <c r="I44" s="89">
        <f>I45+SUM(I55:I85)+SUM(I86:I98)-I90</f>
        <v>3573.1329999999994</v>
      </c>
      <c r="J44" s="89">
        <f>J45+SUM(J55:J85)+SUM(J86:J98)</f>
        <v>9.819</v>
      </c>
      <c r="K44" s="94">
        <f>K45+SUM(K55:K98)</f>
        <v>239.86199999999997</v>
      </c>
      <c r="L44" s="89">
        <f>L45+SUM(L55:L98)</f>
        <v>239.86199999999997</v>
      </c>
      <c r="M44" s="89">
        <f>M45+SUM(M55:M98)</f>
        <v>82.593</v>
      </c>
      <c r="N44" s="137"/>
      <c r="O44" s="138">
        <f>O45+SUM(O55:O98)</f>
        <v>6048.399999999998</v>
      </c>
      <c r="P44" s="70">
        <f>P45+SUM(P55:P98)</f>
        <v>6048.399999999998</v>
      </c>
      <c r="Q44" s="70">
        <f>Q45+SUM(Q55:Q98)</f>
        <v>4518.932999999998</v>
      </c>
      <c r="R44" s="95"/>
      <c r="S44" s="94">
        <f>S45+SUM(S55:S98)</f>
        <v>582.926</v>
      </c>
      <c r="T44" s="89">
        <f>SUM(T55:T98)</f>
        <v>580.926</v>
      </c>
      <c r="U44" s="89">
        <f>SUM(U55:U98)</f>
        <v>23.803000000000004</v>
      </c>
      <c r="V44" s="95">
        <f>SUM(V55:V98)</f>
        <v>2</v>
      </c>
    </row>
    <row r="45" spans="1:22" ht="12.75">
      <c r="A45" s="106">
        <f>+A44+1</f>
        <v>37</v>
      </c>
      <c r="B45" s="120" t="s">
        <v>207</v>
      </c>
      <c r="C45" s="115">
        <f t="shared" si="3"/>
        <v>287.67100000000005</v>
      </c>
      <c r="D45" s="113">
        <f t="shared" si="3"/>
        <v>287.67100000000005</v>
      </c>
      <c r="E45" s="113">
        <f t="shared" si="3"/>
        <v>134.84699999999998</v>
      </c>
      <c r="F45" s="139"/>
      <c r="G45" s="140">
        <f>H45+J45</f>
        <v>169.44400000000002</v>
      </c>
      <c r="H45" s="141">
        <f>SUM(H46:H54)</f>
        <v>169.44400000000002</v>
      </c>
      <c r="I45" s="141">
        <f>SUM(I46:I53)</f>
        <v>123.249</v>
      </c>
      <c r="J45" s="142"/>
      <c r="K45" s="115">
        <f>+L45</f>
        <v>103.062</v>
      </c>
      <c r="L45" s="113">
        <f>SUM(L46:L54)</f>
        <v>103.062</v>
      </c>
      <c r="M45" s="113"/>
      <c r="N45" s="143"/>
      <c r="O45" s="140">
        <f>P45+R45</f>
        <v>15.165</v>
      </c>
      <c r="P45" s="141">
        <f>SUM(P46:P53)</f>
        <v>15.165</v>
      </c>
      <c r="Q45" s="144">
        <f>SUM(Q46:Q53)</f>
        <v>11.597999999999999</v>
      </c>
      <c r="R45" s="145"/>
      <c r="S45" s="146"/>
      <c r="T45" s="147"/>
      <c r="U45" s="147"/>
      <c r="V45" s="143"/>
    </row>
    <row r="46" spans="1:22" ht="12.75">
      <c r="A46" s="121">
        <v>38</v>
      </c>
      <c r="B46" s="56" t="s">
        <v>208</v>
      </c>
      <c r="C46" s="29">
        <f>D46+F46</f>
        <v>9</v>
      </c>
      <c r="D46" s="124">
        <f>G46+K46+O46+S46</f>
        <v>9</v>
      </c>
      <c r="E46" s="124">
        <f>I46+M46+Q46+U46</f>
        <v>6.898</v>
      </c>
      <c r="F46" s="125"/>
      <c r="G46" s="126"/>
      <c r="H46" s="124"/>
      <c r="I46" s="124"/>
      <c r="J46" s="128"/>
      <c r="K46" s="126"/>
      <c r="L46" s="124"/>
      <c r="M46" s="124"/>
      <c r="N46" s="52"/>
      <c r="O46" s="29">
        <f>P46+R46</f>
        <v>9</v>
      </c>
      <c r="P46" s="124">
        <v>9</v>
      </c>
      <c r="Q46" s="124">
        <v>6.898</v>
      </c>
      <c r="R46" s="128"/>
      <c r="S46" s="130"/>
      <c r="T46" s="124"/>
      <c r="U46" s="124"/>
      <c r="V46" s="148"/>
    </row>
    <row r="47" spans="1:22" ht="12.75">
      <c r="A47" s="121">
        <v>39</v>
      </c>
      <c r="B47" s="56" t="s">
        <v>209</v>
      </c>
      <c r="C47" s="29">
        <f t="shared" si="3"/>
        <v>103.062</v>
      </c>
      <c r="D47" s="124">
        <f t="shared" si="3"/>
        <v>103.062</v>
      </c>
      <c r="E47" s="124"/>
      <c r="F47" s="125"/>
      <c r="G47" s="126"/>
      <c r="H47" s="124"/>
      <c r="I47" s="124"/>
      <c r="J47" s="123"/>
      <c r="K47" s="29">
        <f>+L47</f>
        <v>103.062</v>
      </c>
      <c r="L47" s="124">
        <v>103.062</v>
      </c>
      <c r="M47" s="124"/>
      <c r="N47" s="123"/>
      <c r="O47" s="29"/>
      <c r="P47" s="124"/>
      <c r="Q47" s="124"/>
      <c r="R47" s="123"/>
      <c r="S47" s="130"/>
      <c r="T47" s="124"/>
      <c r="U47" s="124"/>
      <c r="V47" s="123"/>
    </row>
    <row r="48" spans="1:22" ht="12.75">
      <c r="A48" s="121">
        <v>40</v>
      </c>
      <c r="B48" s="56" t="s">
        <v>210</v>
      </c>
      <c r="C48" s="29">
        <f t="shared" si="3"/>
        <v>0</v>
      </c>
      <c r="D48" s="124">
        <f t="shared" si="3"/>
        <v>0</v>
      </c>
      <c r="E48" s="124"/>
      <c r="F48" s="125"/>
      <c r="G48" s="126">
        <f aca="true" t="shared" si="8" ref="G48:G54">H48+J48</f>
        <v>0</v>
      </c>
      <c r="H48" s="124"/>
      <c r="I48" s="124"/>
      <c r="J48" s="123"/>
      <c r="K48" s="40"/>
      <c r="L48" s="124"/>
      <c r="M48" s="124"/>
      <c r="N48" s="123"/>
      <c r="O48" s="29"/>
      <c r="P48" s="124"/>
      <c r="Q48" s="124"/>
      <c r="R48" s="123"/>
      <c r="S48" s="130"/>
      <c r="T48" s="124"/>
      <c r="U48" s="124"/>
      <c r="V48" s="123"/>
    </row>
    <row r="49" spans="1:22" ht="12.75">
      <c r="A49" s="121">
        <v>41</v>
      </c>
      <c r="B49" s="55" t="s">
        <v>211</v>
      </c>
      <c r="C49" s="29">
        <f t="shared" si="3"/>
        <v>0</v>
      </c>
      <c r="D49" s="124">
        <f t="shared" si="3"/>
        <v>0</v>
      </c>
      <c r="E49" s="124"/>
      <c r="F49" s="125"/>
      <c r="G49" s="126">
        <f t="shared" si="8"/>
        <v>0</v>
      </c>
      <c r="H49" s="124"/>
      <c r="I49" s="124"/>
      <c r="J49" s="123"/>
      <c r="K49" s="126"/>
      <c r="L49" s="124"/>
      <c r="M49" s="124"/>
      <c r="N49" s="123"/>
      <c r="O49" s="29"/>
      <c r="P49" s="124"/>
      <c r="Q49" s="124"/>
      <c r="R49" s="123"/>
      <c r="S49" s="130"/>
      <c r="T49" s="124"/>
      <c r="U49" s="124"/>
      <c r="V49" s="123"/>
    </row>
    <row r="50" spans="1:22" ht="12.75">
      <c r="A50" s="121">
        <f>+A49+1</f>
        <v>42</v>
      </c>
      <c r="B50" s="149" t="s">
        <v>212</v>
      </c>
      <c r="C50" s="29">
        <f t="shared" si="3"/>
        <v>0</v>
      </c>
      <c r="D50" s="124">
        <f t="shared" si="3"/>
        <v>0</v>
      </c>
      <c r="E50" s="124"/>
      <c r="F50" s="125"/>
      <c r="G50" s="126">
        <f t="shared" si="8"/>
        <v>0</v>
      </c>
      <c r="H50" s="124"/>
      <c r="I50" s="124"/>
      <c r="J50" s="123"/>
      <c r="K50" s="126"/>
      <c r="L50" s="124"/>
      <c r="M50" s="124"/>
      <c r="N50" s="123"/>
      <c r="O50" s="40"/>
      <c r="P50" s="124"/>
      <c r="Q50" s="124"/>
      <c r="R50" s="123"/>
      <c r="S50" s="130"/>
      <c r="T50" s="124"/>
      <c r="U50" s="124"/>
      <c r="V50" s="123"/>
    </row>
    <row r="51" spans="1:22" ht="12.75">
      <c r="A51" s="121">
        <v>43</v>
      </c>
      <c r="B51" s="56" t="s">
        <v>213</v>
      </c>
      <c r="C51" s="29">
        <f t="shared" si="3"/>
        <v>0</v>
      </c>
      <c r="D51" s="124">
        <f t="shared" si="3"/>
        <v>0</v>
      </c>
      <c r="E51" s="124"/>
      <c r="F51" s="125"/>
      <c r="G51" s="126">
        <f t="shared" si="8"/>
        <v>0</v>
      </c>
      <c r="H51" s="124"/>
      <c r="I51" s="124"/>
      <c r="J51" s="123"/>
      <c r="K51" s="126"/>
      <c r="L51" s="124"/>
      <c r="M51" s="124"/>
      <c r="N51" s="123"/>
      <c r="O51" s="40"/>
      <c r="P51" s="124"/>
      <c r="Q51" s="124"/>
      <c r="R51" s="123"/>
      <c r="S51" s="130"/>
      <c r="T51" s="124"/>
      <c r="U51" s="124"/>
      <c r="V51" s="123"/>
    </row>
    <row r="52" spans="1:22" ht="12.75">
      <c r="A52" s="121">
        <v>44</v>
      </c>
      <c r="B52" s="56" t="s">
        <v>214</v>
      </c>
      <c r="C52" s="29">
        <f t="shared" si="3"/>
        <v>155.13</v>
      </c>
      <c r="D52" s="124">
        <f t="shared" si="3"/>
        <v>155.13</v>
      </c>
      <c r="E52" s="32">
        <f>I52+M52+Q52+U52</f>
        <v>114.852</v>
      </c>
      <c r="F52" s="39"/>
      <c r="G52" s="126">
        <f t="shared" si="8"/>
        <v>148.965</v>
      </c>
      <c r="H52" s="124">
        <v>148.965</v>
      </c>
      <c r="I52" s="124">
        <v>110.152</v>
      </c>
      <c r="J52" s="123"/>
      <c r="K52" s="126"/>
      <c r="L52" s="124"/>
      <c r="M52" s="124"/>
      <c r="N52" s="123"/>
      <c r="O52" s="29">
        <f>P52+R52</f>
        <v>6.165</v>
      </c>
      <c r="P52" s="124">
        <v>6.165</v>
      </c>
      <c r="Q52" s="124">
        <v>4.7</v>
      </c>
      <c r="R52" s="123"/>
      <c r="S52" s="130"/>
      <c r="T52" s="124"/>
      <c r="U52" s="124"/>
      <c r="V52" s="123"/>
    </row>
    <row r="53" spans="1:22" ht="12.75">
      <c r="A53" s="121">
        <v>45</v>
      </c>
      <c r="B53" s="56" t="s">
        <v>215</v>
      </c>
      <c r="C53" s="29">
        <f t="shared" si="3"/>
        <v>20.479</v>
      </c>
      <c r="D53" s="124">
        <f t="shared" si="3"/>
        <v>20.479</v>
      </c>
      <c r="E53" s="32">
        <f>I53+M53+Q53+U53</f>
        <v>13.097</v>
      </c>
      <c r="F53" s="39"/>
      <c r="G53" s="126">
        <f t="shared" si="8"/>
        <v>20.479</v>
      </c>
      <c r="H53" s="124">
        <v>20.479</v>
      </c>
      <c r="I53" s="124">
        <v>13.097</v>
      </c>
      <c r="J53" s="123"/>
      <c r="K53" s="126"/>
      <c r="L53" s="124"/>
      <c r="M53" s="124"/>
      <c r="N53" s="123"/>
      <c r="O53" s="40"/>
      <c r="P53" s="124"/>
      <c r="Q53" s="124"/>
      <c r="R53" s="123"/>
      <c r="S53" s="130"/>
      <c r="T53" s="124"/>
      <c r="U53" s="124"/>
      <c r="V53" s="123"/>
    </row>
    <row r="54" spans="1:22" ht="25.5">
      <c r="A54" s="121">
        <v>46</v>
      </c>
      <c r="B54" s="134" t="s">
        <v>216</v>
      </c>
      <c r="C54" s="29">
        <f t="shared" si="3"/>
        <v>0</v>
      </c>
      <c r="D54" s="124">
        <f t="shared" si="3"/>
        <v>0</v>
      </c>
      <c r="E54" s="38"/>
      <c r="F54" s="39"/>
      <c r="G54" s="126">
        <f t="shared" si="8"/>
        <v>0</v>
      </c>
      <c r="H54" s="124"/>
      <c r="I54" s="124"/>
      <c r="J54" s="123"/>
      <c r="K54" s="126"/>
      <c r="L54" s="124"/>
      <c r="M54" s="124"/>
      <c r="N54" s="123"/>
      <c r="O54" s="40"/>
      <c r="P54" s="124"/>
      <c r="Q54" s="124"/>
      <c r="R54" s="123"/>
      <c r="S54" s="130"/>
      <c r="T54" s="124"/>
      <c r="U54" s="124"/>
      <c r="V54" s="123"/>
    </row>
    <row r="55" spans="1:22" ht="12.75">
      <c r="A55" s="121">
        <v>47</v>
      </c>
      <c r="B55" s="35" t="s">
        <v>74</v>
      </c>
      <c r="C55" s="40">
        <f aca="true" t="shared" si="9" ref="C55:E60">+G55+K55+O55+S55</f>
        <v>365.226</v>
      </c>
      <c r="D55" s="38">
        <f t="shared" si="9"/>
        <v>365.226</v>
      </c>
      <c r="E55" s="38">
        <f t="shared" si="9"/>
        <v>238.83999999999997</v>
      </c>
      <c r="F55" s="39"/>
      <c r="G55" s="40">
        <f aca="true" t="shared" si="10" ref="G55:G60">+H55</f>
        <v>234.202</v>
      </c>
      <c r="H55" s="38">
        <v>234.202</v>
      </c>
      <c r="I55" s="46">
        <v>159.528</v>
      </c>
      <c r="J55" s="123"/>
      <c r="K55" s="126"/>
      <c r="L55" s="124"/>
      <c r="M55" s="124"/>
      <c r="N55" s="123"/>
      <c r="O55" s="40">
        <f aca="true" t="shared" si="11" ref="O55:O89">+P55</f>
        <v>107.324</v>
      </c>
      <c r="P55" s="38">
        <v>107.324</v>
      </c>
      <c r="Q55" s="38">
        <v>79.312</v>
      </c>
      <c r="R55" s="41"/>
      <c r="S55" s="36">
        <f aca="true" t="shared" si="12" ref="S55:S80">+T55</f>
        <v>23.7</v>
      </c>
      <c r="T55" s="38">
        <v>23.7</v>
      </c>
      <c r="U55" s="38"/>
      <c r="V55" s="41"/>
    </row>
    <row r="56" spans="1:22" ht="12.75">
      <c r="A56" s="121">
        <f aca="true" t="shared" si="13" ref="A56:A62">+A55+1</f>
        <v>48</v>
      </c>
      <c r="B56" s="35" t="s">
        <v>75</v>
      </c>
      <c r="C56" s="40">
        <f t="shared" si="9"/>
        <v>615.2350000000001</v>
      </c>
      <c r="D56" s="38">
        <f t="shared" si="9"/>
        <v>615.2350000000001</v>
      </c>
      <c r="E56" s="38">
        <f t="shared" si="9"/>
        <v>395.313</v>
      </c>
      <c r="F56" s="39"/>
      <c r="G56" s="40">
        <f t="shared" si="10"/>
        <v>410.771</v>
      </c>
      <c r="H56" s="38">
        <v>410.771</v>
      </c>
      <c r="I56" s="46">
        <v>281.18</v>
      </c>
      <c r="J56" s="123"/>
      <c r="K56" s="126"/>
      <c r="L56" s="124"/>
      <c r="M56" s="124"/>
      <c r="N56" s="123"/>
      <c r="O56" s="40">
        <f t="shared" si="11"/>
        <v>154.524</v>
      </c>
      <c r="P56" s="38">
        <v>154.524</v>
      </c>
      <c r="Q56" s="38">
        <v>114.133</v>
      </c>
      <c r="R56" s="41"/>
      <c r="S56" s="36">
        <f t="shared" si="12"/>
        <v>49.94</v>
      </c>
      <c r="T56" s="38">
        <v>49.94</v>
      </c>
      <c r="U56" s="38"/>
      <c r="V56" s="41"/>
    </row>
    <row r="57" spans="1:22" ht="12.75">
      <c r="A57" s="121">
        <f t="shared" si="13"/>
        <v>49</v>
      </c>
      <c r="B57" s="35" t="s">
        <v>54</v>
      </c>
      <c r="C57" s="40">
        <f t="shared" si="9"/>
        <v>250.35600000000002</v>
      </c>
      <c r="D57" s="38">
        <f t="shared" si="9"/>
        <v>250.35600000000002</v>
      </c>
      <c r="E57" s="38">
        <f t="shared" si="9"/>
        <v>149.865</v>
      </c>
      <c r="F57" s="39"/>
      <c r="G57" s="40">
        <f t="shared" si="10"/>
        <v>161.228</v>
      </c>
      <c r="H57" s="38">
        <v>161.228</v>
      </c>
      <c r="I57" s="46">
        <v>92.748</v>
      </c>
      <c r="J57" s="123"/>
      <c r="K57" s="126"/>
      <c r="L57" s="124"/>
      <c r="M57" s="124"/>
      <c r="N57" s="123"/>
      <c r="O57" s="40">
        <f t="shared" si="11"/>
        <v>77.254</v>
      </c>
      <c r="P57" s="38">
        <v>77.254</v>
      </c>
      <c r="Q57" s="38">
        <v>57.117</v>
      </c>
      <c r="R57" s="41"/>
      <c r="S57" s="36">
        <f t="shared" si="12"/>
        <v>11.874</v>
      </c>
      <c r="T57" s="38">
        <v>11.874</v>
      </c>
      <c r="U57" s="38"/>
      <c r="V57" s="41"/>
    </row>
    <row r="58" spans="1:22" ht="12.75">
      <c r="A58" s="121">
        <f t="shared" si="13"/>
        <v>50</v>
      </c>
      <c r="B58" s="35" t="s">
        <v>164</v>
      </c>
      <c r="C58" s="40">
        <f t="shared" si="9"/>
        <v>507.967</v>
      </c>
      <c r="D58" s="38">
        <f t="shared" si="9"/>
        <v>507.967</v>
      </c>
      <c r="E58" s="38">
        <f t="shared" si="9"/>
        <v>311.057</v>
      </c>
      <c r="F58" s="39"/>
      <c r="G58" s="40">
        <f t="shared" si="10"/>
        <v>251.682</v>
      </c>
      <c r="H58" s="38">
        <v>251.682</v>
      </c>
      <c r="I58" s="38">
        <v>160.037</v>
      </c>
      <c r="J58" s="123"/>
      <c r="K58" s="126"/>
      <c r="L58" s="124"/>
      <c r="M58" s="124"/>
      <c r="N58" s="123"/>
      <c r="O58" s="40">
        <f t="shared" si="11"/>
        <v>204.285</v>
      </c>
      <c r="P58" s="38">
        <v>204.285</v>
      </c>
      <c r="Q58" s="38">
        <v>151.02</v>
      </c>
      <c r="R58" s="41"/>
      <c r="S58" s="36">
        <f t="shared" si="12"/>
        <v>52</v>
      </c>
      <c r="T58" s="38">
        <v>52</v>
      </c>
      <c r="U58" s="38"/>
      <c r="V58" s="41"/>
    </row>
    <row r="59" spans="1:22" ht="12.75">
      <c r="A59" s="121">
        <f t="shared" si="13"/>
        <v>51</v>
      </c>
      <c r="B59" s="35" t="s">
        <v>165</v>
      </c>
      <c r="C59" s="40">
        <f t="shared" si="9"/>
        <v>187.174</v>
      </c>
      <c r="D59" s="38">
        <f t="shared" si="9"/>
        <v>187.174</v>
      </c>
      <c r="E59" s="38">
        <f t="shared" si="9"/>
        <v>118.002</v>
      </c>
      <c r="F59" s="39"/>
      <c r="G59" s="40">
        <f t="shared" si="10"/>
        <v>125.989</v>
      </c>
      <c r="H59" s="38">
        <v>125.989</v>
      </c>
      <c r="I59" s="38">
        <v>80.014</v>
      </c>
      <c r="J59" s="123"/>
      <c r="K59" s="126"/>
      <c r="L59" s="124"/>
      <c r="M59" s="124"/>
      <c r="N59" s="123"/>
      <c r="O59" s="40">
        <f t="shared" si="11"/>
        <v>51.385</v>
      </c>
      <c r="P59" s="38">
        <v>51.385</v>
      </c>
      <c r="Q59" s="38">
        <v>37.988</v>
      </c>
      <c r="R59" s="41"/>
      <c r="S59" s="36">
        <f t="shared" si="12"/>
        <v>9.8</v>
      </c>
      <c r="T59" s="38">
        <v>9.8</v>
      </c>
      <c r="U59" s="38"/>
      <c r="V59" s="41"/>
    </row>
    <row r="60" spans="1:22" ht="12.75">
      <c r="A60" s="121">
        <f t="shared" si="13"/>
        <v>52</v>
      </c>
      <c r="B60" s="35" t="s">
        <v>166</v>
      </c>
      <c r="C60" s="40">
        <f t="shared" si="9"/>
        <v>217.507</v>
      </c>
      <c r="D60" s="38">
        <f t="shared" si="9"/>
        <v>217.507</v>
      </c>
      <c r="E60" s="38">
        <f t="shared" si="9"/>
        <v>153.99099999999999</v>
      </c>
      <c r="F60" s="39"/>
      <c r="G60" s="40">
        <f t="shared" si="10"/>
        <v>105.001</v>
      </c>
      <c r="H60" s="38">
        <v>105.001</v>
      </c>
      <c r="I60" s="38">
        <v>76.889</v>
      </c>
      <c r="J60" s="123"/>
      <c r="K60" s="126"/>
      <c r="L60" s="124"/>
      <c r="M60" s="124"/>
      <c r="N60" s="123"/>
      <c r="O60" s="40">
        <f t="shared" si="11"/>
        <v>103.206</v>
      </c>
      <c r="P60" s="38">
        <v>103.206</v>
      </c>
      <c r="Q60" s="38">
        <v>77.102</v>
      </c>
      <c r="R60" s="41"/>
      <c r="S60" s="36">
        <f t="shared" si="12"/>
        <v>9.3</v>
      </c>
      <c r="T60" s="38">
        <v>9.3</v>
      </c>
      <c r="U60" s="38"/>
      <c r="V60" s="41"/>
    </row>
    <row r="61" spans="1:22" ht="12.75">
      <c r="A61" s="121">
        <f t="shared" si="13"/>
        <v>53</v>
      </c>
      <c r="B61" s="73" t="s">
        <v>167</v>
      </c>
      <c r="C61" s="40">
        <f aca="true" t="shared" si="14" ref="C61:E62">G61+K61+O61+S61</f>
        <v>99.958</v>
      </c>
      <c r="D61" s="38">
        <f t="shared" si="14"/>
        <v>99.958</v>
      </c>
      <c r="E61" s="38">
        <f t="shared" si="14"/>
        <v>73.23100000000001</v>
      </c>
      <c r="F61" s="39"/>
      <c r="G61" s="40">
        <f>H61+J61</f>
        <v>12.283</v>
      </c>
      <c r="H61" s="38">
        <v>12.283</v>
      </c>
      <c r="I61" s="38">
        <v>8.307</v>
      </c>
      <c r="J61" s="123"/>
      <c r="K61" s="126"/>
      <c r="L61" s="124"/>
      <c r="M61" s="124"/>
      <c r="N61" s="123"/>
      <c r="O61" s="40">
        <f t="shared" si="11"/>
        <v>87.675</v>
      </c>
      <c r="P61" s="38">
        <v>87.675</v>
      </c>
      <c r="Q61" s="38">
        <v>64.924</v>
      </c>
      <c r="R61" s="41"/>
      <c r="S61" s="36"/>
      <c r="T61" s="38"/>
      <c r="U61" s="38"/>
      <c r="V61" s="41"/>
    </row>
    <row r="62" spans="1:22" ht="12.75">
      <c r="A62" s="121">
        <f t="shared" si="13"/>
        <v>54</v>
      </c>
      <c r="B62" s="72" t="s">
        <v>217</v>
      </c>
      <c r="C62" s="40">
        <f t="shared" si="14"/>
        <v>77.878</v>
      </c>
      <c r="D62" s="38">
        <f t="shared" si="14"/>
        <v>77.878</v>
      </c>
      <c r="E62" s="38">
        <f t="shared" si="14"/>
        <v>56.347</v>
      </c>
      <c r="F62" s="39"/>
      <c r="G62" s="40">
        <f>H62+J62</f>
        <v>38.541</v>
      </c>
      <c r="H62" s="38">
        <v>38.541</v>
      </c>
      <c r="I62" s="38">
        <v>26.817</v>
      </c>
      <c r="J62" s="41"/>
      <c r="K62" s="40"/>
      <c r="L62" s="38"/>
      <c r="M62" s="38"/>
      <c r="N62" s="41"/>
      <c r="O62" s="40">
        <f t="shared" si="11"/>
        <v>39.337</v>
      </c>
      <c r="P62" s="38">
        <v>39.337</v>
      </c>
      <c r="Q62" s="38">
        <v>29.53</v>
      </c>
      <c r="R62" s="41"/>
      <c r="S62" s="36"/>
      <c r="T62" s="38"/>
      <c r="U62" s="38"/>
      <c r="V62" s="41"/>
    </row>
    <row r="63" spans="1:22" ht="12.75">
      <c r="A63" s="121">
        <v>55</v>
      </c>
      <c r="B63" s="35" t="s">
        <v>85</v>
      </c>
      <c r="C63" s="40">
        <f aca="true" t="shared" si="15" ref="C63:F73">+G63+K63+O63+S63</f>
        <v>624.677</v>
      </c>
      <c r="D63" s="38">
        <f t="shared" si="15"/>
        <v>624.677</v>
      </c>
      <c r="E63" s="38">
        <f t="shared" si="15"/>
        <v>400.182</v>
      </c>
      <c r="F63" s="39"/>
      <c r="G63" s="40">
        <f>+H63+J63</f>
        <v>389.046</v>
      </c>
      <c r="H63" s="38">
        <v>389.046</v>
      </c>
      <c r="I63" s="38">
        <v>262.059</v>
      </c>
      <c r="J63" s="41"/>
      <c r="K63" s="126"/>
      <c r="L63" s="124"/>
      <c r="M63" s="124"/>
      <c r="N63" s="123"/>
      <c r="O63" s="40">
        <f t="shared" si="11"/>
        <v>186.531</v>
      </c>
      <c r="P63" s="38">
        <v>186.531</v>
      </c>
      <c r="Q63" s="38">
        <v>138.123</v>
      </c>
      <c r="R63" s="41"/>
      <c r="S63" s="36">
        <f t="shared" si="12"/>
        <v>49.1</v>
      </c>
      <c r="T63" s="38">
        <v>49.1</v>
      </c>
      <c r="U63" s="38"/>
      <c r="V63" s="41"/>
    </row>
    <row r="64" spans="1:22" ht="12.75">
      <c r="A64" s="121">
        <f>+A63+1</f>
        <v>56</v>
      </c>
      <c r="B64" s="35" t="s">
        <v>58</v>
      </c>
      <c r="C64" s="40">
        <f t="shared" si="15"/>
        <v>603.212</v>
      </c>
      <c r="D64" s="38">
        <f t="shared" si="15"/>
        <v>603.212</v>
      </c>
      <c r="E64" s="38">
        <f t="shared" si="15"/>
        <v>415.829</v>
      </c>
      <c r="F64" s="39"/>
      <c r="G64" s="40">
        <f aca="true" t="shared" si="16" ref="G64:G71">+H64</f>
        <v>157.303</v>
      </c>
      <c r="H64" s="38">
        <v>157.303</v>
      </c>
      <c r="I64" s="38">
        <v>96.394</v>
      </c>
      <c r="J64" s="41"/>
      <c r="K64" s="40"/>
      <c r="L64" s="38"/>
      <c r="M64" s="38"/>
      <c r="N64" s="41"/>
      <c r="O64" s="40">
        <f t="shared" si="11"/>
        <v>429.409</v>
      </c>
      <c r="P64" s="38">
        <v>429.409</v>
      </c>
      <c r="Q64" s="38">
        <v>319.435</v>
      </c>
      <c r="R64" s="41"/>
      <c r="S64" s="36">
        <f>+T64+V64</f>
        <v>16.5</v>
      </c>
      <c r="T64" s="38">
        <v>16.5</v>
      </c>
      <c r="U64" s="38"/>
      <c r="V64" s="41"/>
    </row>
    <row r="65" spans="1:22" ht="12.75">
      <c r="A65" s="121">
        <f>+A64+1</f>
        <v>57</v>
      </c>
      <c r="B65" s="35" t="s">
        <v>168</v>
      </c>
      <c r="C65" s="40">
        <f t="shared" si="15"/>
        <v>111.27</v>
      </c>
      <c r="D65" s="38">
        <f t="shared" si="15"/>
        <v>111.27</v>
      </c>
      <c r="E65" s="38">
        <f t="shared" si="15"/>
        <v>76.389</v>
      </c>
      <c r="F65" s="39"/>
      <c r="G65" s="40">
        <f t="shared" si="16"/>
        <v>44.99</v>
      </c>
      <c r="H65" s="38">
        <v>44.99</v>
      </c>
      <c r="I65" s="38">
        <v>32.422</v>
      </c>
      <c r="J65" s="123"/>
      <c r="K65" s="40"/>
      <c r="L65" s="124"/>
      <c r="M65" s="124"/>
      <c r="N65" s="123"/>
      <c r="O65" s="40">
        <f t="shared" si="11"/>
        <v>58.98</v>
      </c>
      <c r="P65" s="38">
        <v>58.98</v>
      </c>
      <c r="Q65" s="38">
        <v>43.967</v>
      </c>
      <c r="R65" s="41"/>
      <c r="S65" s="36">
        <f t="shared" si="12"/>
        <v>7.3</v>
      </c>
      <c r="T65" s="38">
        <v>7.3</v>
      </c>
      <c r="U65" s="38"/>
      <c r="V65" s="41"/>
    </row>
    <row r="66" spans="1:22" ht="12.75">
      <c r="A66" s="121">
        <v>58</v>
      </c>
      <c r="B66" s="35" t="s">
        <v>76</v>
      </c>
      <c r="C66" s="40">
        <f t="shared" si="15"/>
        <v>269.076</v>
      </c>
      <c r="D66" s="38">
        <f t="shared" si="15"/>
        <v>269.076</v>
      </c>
      <c r="E66" s="38">
        <f t="shared" si="15"/>
        <v>176.867</v>
      </c>
      <c r="F66" s="39"/>
      <c r="G66" s="40">
        <f t="shared" si="16"/>
        <v>150.792</v>
      </c>
      <c r="H66" s="38">
        <v>150.792</v>
      </c>
      <c r="I66" s="38">
        <v>95.169</v>
      </c>
      <c r="J66" s="123"/>
      <c r="K66" s="126"/>
      <c r="L66" s="124"/>
      <c r="M66" s="124"/>
      <c r="N66" s="123"/>
      <c r="O66" s="40">
        <f t="shared" si="11"/>
        <v>108.284</v>
      </c>
      <c r="P66" s="38">
        <v>108.284</v>
      </c>
      <c r="Q66" s="38">
        <v>81.698</v>
      </c>
      <c r="R66" s="41"/>
      <c r="S66" s="36">
        <f t="shared" si="12"/>
        <v>10</v>
      </c>
      <c r="T66" s="38">
        <v>10</v>
      </c>
      <c r="U66" s="38"/>
      <c r="V66" s="41"/>
    </row>
    <row r="67" spans="1:22" ht="12.75">
      <c r="A67" s="121">
        <f>+A66+1</f>
        <v>59</v>
      </c>
      <c r="B67" s="35" t="s">
        <v>86</v>
      </c>
      <c r="C67" s="40">
        <f t="shared" si="15"/>
        <v>225.737</v>
      </c>
      <c r="D67" s="38">
        <f t="shared" si="15"/>
        <v>222.737</v>
      </c>
      <c r="E67" s="38">
        <f t="shared" si="15"/>
        <v>164.205</v>
      </c>
      <c r="F67" s="39">
        <f t="shared" si="15"/>
        <v>3</v>
      </c>
      <c r="G67" s="40">
        <f>+H67+J67</f>
        <v>32.887</v>
      </c>
      <c r="H67" s="38">
        <v>29.887</v>
      </c>
      <c r="I67" s="38">
        <v>21.203</v>
      </c>
      <c r="J67" s="41">
        <v>3</v>
      </c>
      <c r="K67" s="126"/>
      <c r="L67" s="124"/>
      <c r="M67" s="124"/>
      <c r="N67" s="123"/>
      <c r="O67" s="40">
        <f t="shared" si="11"/>
        <v>188.85</v>
      </c>
      <c r="P67" s="38">
        <v>188.85</v>
      </c>
      <c r="Q67" s="38">
        <v>141.002</v>
      </c>
      <c r="R67" s="41"/>
      <c r="S67" s="36">
        <f t="shared" si="12"/>
        <v>4</v>
      </c>
      <c r="T67" s="38">
        <v>4</v>
      </c>
      <c r="U67" s="38">
        <v>2</v>
      </c>
      <c r="V67" s="41"/>
    </row>
    <row r="68" spans="1:22" ht="12.75">
      <c r="A68" s="121">
        <v>60</v>
      </c>
      <c r="B68" s="35" t="s">
        <v>169</v>
      </c>
      <c r="C68" s="40">
        <f t="shared" si="15"/>
        <v>10.870999999999999</v>
      </c>
      <c r="D68" s="38">
        <f t="shared" si="15"/>
        <v>10.870999999999999</v>
      </c>
      <c r="E68" s="38">
        <f t="shared" si="15"/>
        <v>7.424</v>
      </c>
      <c r="F68" s="39"/>
      <c r="G68" s="40"/>
      <c r="H68" s="38"/>
      <c r="I68" s="38"/>
      <c r="J68" s="123"/>
      <c r="K68" s="40">
        <f>+L68</f>
        <v>0.7</v>
      </c>
      <c r="L68" s="38">
        <v>0.7</v>
      </c>
      <c r="M68" s="124"/>
      <c r="N68" s="123"/>
      <c r="O68" s="40">
        <f t="shared" si="11"/>
        <v>10.171</v>
      </c>
      <c r="P68" s="38">
        <v>10.171</v>
      </c>
      <c r="Q68" s="38">
        <v>7.424</v>
      </c>
      <c r="R68" s="41"/>
      <c r="S68" s="36"/>
      <c r="T68" s="38"/>
      <c r="U68" s="38"/>
      <c r="V68" s="41"/>
    </row>
    <row r="69" spans="1:22" ht="12.75">
      <c r="A69" s="121">
        <v>61</v>
      </c>
      <c r="B69" s="35" t="s">
        <v>170</v>
      </c>
      <c r="C69" s="40">
        <f t="shared" si="15"/>
        <v>330.241</v>
      </c>
      <c r="D69" s="38">
        <f t="shared" si="15"/>
        <v>330.241</v>
      </c>
      <c r="E69" s="38">
        <f t="shared" si="15"/>
        <v>215.035</v>
      </c>
      <c r="F69" s="39"/>
      <c r="G69" s="40">
        <f t="shared" si="16"/>
        <v>179.853</v>
      </c>
      <c r="H69" s="38">
        <v>179.853</v>
      </c>
      <c r="I69" s="38">
        <v>112.714</v>
      </c>
      <c r="J69" s="123"/>
      <c r="K69" s="126"/>
      <c r="L69" s="124"/>
      <c r="M69" s="124"/>
      <c r="N69" s="123"/>
      <c r="O69" s="40">
        <f t="shared" si="11"/>
        <v>135.888</v>
      </c>
      <c r="P69" s="38">
        <v>135.888</v>
      </c>
      <c r="Q69" s="38">
        <v>102.321</v>
      </c>
      <c r="R69" s="41"/>
      <c r="S69" s="36">
        <f t="shared" si="12"/>
        <v>14.5</v>
      </c>
      <c r="T69" s="38">
        <v>14.5</v>
      </c>
      <c r="U69" s="38"/>
      <c r="V69" s="41"/>
    </row>
    <row r="70" spans="1:22" ht="12.75">
      <c r="A70" s="121">
        <v>62</v>
      </c>
      <c r="B70" s="35" t="s">
        <v>60</v>
      </c>
      <c r="C70" s="40">
        <f t="shared" si="15"/>
        <v>1724.7089999999998</v>
      </c>
      <c r="D70" s="38">
        <f t="shared" si="15"/>
        <v>1723.7089999999998</v>
      </c>
      <c r="E70" s="38">
        <f t="shared" si="15"/>
        <v>1117.961</v>
      </c>
      <c r="F70" s="39">
        <f t="shared" si="15"/>
        <v>1</v>
      </c>
      <c r="G70" s="40">
        <f t="shared" si="16"/>
        <v>657.934</v>
      </c>
      <c r="H70" s="38">
        <v>657.934</v>
      </c>
      <c r="I70" s="38">
        <v>375.584</v>
      </c>
      <c r="J70" s="123"/>
      <c r="K70" s="126"/>
      <c r="L70" s="124"/>
      <c r="M70" s="124"/>
      <c r="N70" s="123"/>
      <c r="O70" s="40">
        <f>P70+R70</f>
        <v>991.775</v>
      </c>
      <c r="P70" s="38">
        <v>991.775</v>
      </c>
      <c r="Q70" s="38">
        <v>742.377</v>
      </c>
      <c r="R70" s="41"/>
      <c r="S70" s="36">
        <f>+T70+V70</f>
        <v>75</v>
      </c>
      <c r="T70" s="38">
        <v>74</v>
      </c>
      <c r="U70" s="38"/>
      <c r="V70" s="41">
        <v>1</v>
      </c>
    </row>
    <row r="71" spans="1:22" ht="12.75">
      <c r="A71" s="121">
        <v>63</v>
      </c>
      <c r="B71" s="35" t="s">
        <v>218</v>
      </c>
      <c r="C71" s="40">
        <f t="shared" si="15"/>
        <v>100.686</v>
      </c>
      <c r="D71" s="38">
        <f t="shared" si="15"/>
        <v>99.686</v>
      </c>
      <c r="E71" s="38">
        <f t="shared" si="15"/>
        <v>55.722</v>
      </c>
      <c r="F71" s="39">
        <f t="shared" si="15"/>
        <v>1</v>
      </c>
      <c r="G71" s="40">
        <f t="shared" si="16"/>
        <v>90.686</v>
      </c>
      <c r="H71" s="38">
        <v>90.686</v>
      </c>
      <c r="I71" s="38">
        <v>55.722</v>
      </c>
      <c r="J71" s="41"/>
      <c r="K71" s="40"/>
      <c r="L71" s="38"/>
      <c r="M71" s="38"/>
      <c r="N71" s="41"/>
      <c r="O71" s="40"/>
      <c r="P71" s="38"/>
      <c r="Q71" s="38"/>
      <c r="R71" s="41"/>
      <c r="S71" s="36">
        <f>+T71+V71</f>
        <v>10</v>
      </c>
      <c r="T71" s="38">
        <v>9</v>
      </c>
      <c r="U71" s="38"/>
      <c r="V71" s="41">
        <v>1</v>
      </c>
    </row>
    <row r="72" spans="1:22" ht="12.75">
      <c r="A72" s="121">
        <v>64</v>
      </c>
      <c r="B72" s="35" t="s">
        <v>172</v>
      </c>
      <c r="C72" s="40">
        <f t="shared" si="15"/>
        <v>1181.079</v>
      </c>
      <c r="D72" s="38">
        <f t="shared" si="15"/>
        <v>1175.3890000000001</v>
      </c>
      <c r="E72" s="38">
        <f t="shared" si="15"/>
        <v>807.976</v>
      </c>
      <c r="F72" s="38">
        <f t="shared" si="15"/>
        <v>5.69</v>
      </c>
      <c r="G72" s="40">
        <f>+H72+J72</f>
        <v>302.455</v>
      </c>
      <c r="H72" s="38">
        <v>296.765</v>
      </c>
      <c r="I72" s="38">
        <v>183.374</v>
      </c>
      <c r="J72" s="41">
        <v>5.69</v>
      </c>
      <c r="K72" s="126"/>
      <c r="L72" s="124"/>
      <c r="M72" s="124"/>
      <c r="N72" s="123"/>
      <c r="O72" s="40">
        <f>P72+R72</f>
        <v>839.624</v>
      </c>
      <c r="P72" s="38">
        <v>839.624</v>
      </c>
      <c r="Q72" s="38">
        <v>624.602</v>
      </c>
      <c r="R72" s="41"/>
      <c r="S72" s="36">
        <f t="shared" si="12"/>
        <v>39</v>
      </c>
      <c r="T72" s="38">
        <v>39</v>
      </c>
      <c r="U72" s="38"/>
      <c r="V72" s="41"/>
    </row>
    <row r="73" spans="1:22" ht="12.75">
      <c r="A73" s="121">
        <f>+A72+1</f>
        <v>65</v>
      </c>
      <c r="B73" s="35" t="s">
        <v>62</v>
      </c>
      <c r="C73" s="40">
        <f t="shared" si="15"/>
        <v>744.85</v>
      </c>
      <c r="D73" s="38">
        <f t="shared" si="15"/>
        <v>744.85</v>
      </c>
      <c r="E73" s="38">
        <f t="shared" si="15"/>
        <v>480.98</v>
      </c>
      <c r="F73" s="38"/>
      <c r="G73" s="40">
        <f>+H73+J73</f>
        <v>276.029</v>
      </c>
      <c r="H73" s="38">
        <v>276.029</v>
      </c>
      <c r="I73" s="38">
        <v>141.018</v>
      </c>
      <c r="J73" s="41"/>
      <c r="K73" s="126"/>
      <c r="L73" s="124"/>
      <c r="M73" s="124"/>
      <c r="N73" s="123"/>
      <c r="O73" s="40">
        <f t="shared" si="11"/>
        <v>453.821</v>
      </c>
      <c r="P73" s="38">
        <v>453.821</v>
      </c>
      <c r="Q73" s="38">
        <v>339.962</v>
      </c>
      <c r="R73" s="41"/>
      <c r="S73" s="36">
        <f t="shared" si="12"/>
        <v>15</v>
      </c>
      <c r="T73" s="38">
        <v>15</v>
      </c>
      <c r="U73" s="38"/>
      <c r="V73" s="41"/>
    </row>
    <row r="74" spans="1:22" ht="12.75">
      <c r="A74" s="121">
        <f>+A73+1</f>
        <v>66</v>
      </c>
      <c r="B74" s="73" t="s">
        <v>219</v>
      </c>
      <c r="C74" s="40">
        <f aca="true" t="shared" si="17" ref="C74:E75">G74+K74+O74+S74</f>
        <v>37.66</v>
      </c>
      <c r="D74" s="38">
        <f t="shared" si="17"/>
        <v>37.66</v>
      </c>
      <c r="E74" s="38">
        <f t="shared" si="17"/>
        <v>26.903</v>
      </c>
      <c r="F74" s="39"/>
      <c r="G74" s="40">
        <f>H74+J74</f>
        <v>33.16</v>
      </c>
      <c r="H74" s="38">
        <v>33.16</v>
      </c>
      <c r="I74" s="38">
        <v>24.834</v>
      </c>
      <c r="J74" s="41"/>
      <c r="K74" s="40"/>
      <c r="L74" s="38"/>
      <c r="M74" s="38"/>
      <c r="N74" s="41"/>
      <c r="O74" s="40"/>
      <c r="P74" s="38"/>
      <c r="Q74" s="38"/>
      <c r="R74" s="41"/>
      <c r="S74" s="36">
        <f t="shared" si="12"/>
        <v>4.5</v>
      </c>
      <c r="T74" s="38">
        <v>4.5</v>
      </c>
      <c r="U74" s="38">
        <v>2.069</v>
      </c>
      <c r="V74" s="41"/>
    </row>
    <row r="75" spans="1:22" ht="12.75">
      <c r="A75" s="121">
        <f>+A74+1</f>
        <v>67</v>
      </c>
      <c r="B75" s="35" t="s">
        <v>174</v>
      </c>
      <c r="C75" s="40">
        <f t="shared" si="17"/>
        <v>400.329</v>
      </c>
      <c r="D75" s="38">
        <f t="shared" si="17"/>
        <v>400.329</v>
      </c>
      <c r="E75" s="38">
        <f t="shared" si="17"/>
        <v>259.841</v>
      </c>
      <c r="F75" s="39"/>
      <c r="G75" s="40">
        <f>H75+J75</f>
        <v>194.916</v>
      </c>
      <c r="H75" s="38">
        <v>194.916</v>
      </c>
      <c r="I75" s="38">
        <v>119.081</v>
      </c>
      <c r="J75" s="41"/>
      <c r="K75" s="126"/>
      <c r="L75" s="124"/>
      <c r="M75" s="124"/>
      <c r="N75" s="123"/>
      <c r="O75" s="40">
        <f t="shared" si="11"/>
        <v>187.413</v>
      </c>
      <c r="P75" s="38">
        <v>187.413</v>
      </c>
      <c r="Q75" s="38">
        <v>140.76</v>
      </c>
      <c r="R75" s="41"/>
      <c r="S75" s="36">
        <f t="shared" si="12"/>
        <v>18</v>
      </c>
      <c r="T75" s="38">
        <v>18</v>
      </c>
      <c r="U75" s="38"/>
      <c r="V75" s="41"/>
    </row>
    <row r="76" spans="1:22" ht="12.75">
      <c r="A76" s="121">
        <f>+A75+1</f>
        <v>68</v>
      </c>
      <c r="B76" s="35" t="s">
        <v>63</v>
      </c>
      <c r="C76" s="40">
        <f aca="true" t="shared" si="18" ref="C76:E78">+G76+K76+O76+S76</f>
        <v>646.213</v>
      </c>
      <c r="D76" s="38">
        <f t="shared" si="18"/>
        <v>646.213</v>
      </c>
      <c r="E76" s="38">
        <f t="shared" si="18"/>
        <v>410.47200000000004</v>
      </c>
      <c r="F76" s="39"/>
      <c r="G76" s="40">
        <f>+H76</f>
        <v>251.799</v>
      </c>
      <c r="H76" s="38">
        <v>251.799</v>
      </c>
      <c r="I76" s="38">
        <v>125.615</v>
      </c>
      <c r="J76" s="123"/>
      <c r="K76" s="126"/>
      <c r="L76" s="124"/>
      <c r="M76" s="124"/>
      <c r="N76" s="123"/>
      <c r="O76" s="40">
        <f t="shared" si="11"/>
        <v>379.914</v>
      </c>
      <c r="P76" s="38">
        <v>379.914</v>
      </c>
      <c r="Q76" s="38">
        <v>284.857</v>
      </c>
      <c r="R76" s="41"/>
      <c r="S76" s="36">
        <f t="shared" si="12"/>
        <v>14.5</v>
      </c>
      <c r="T76" s="38">
        <v>14.5</v>
      </c>
      <c r="U76" s="38"/>
      <c r="V76" s="41"/>
    </row>
    <row r="77" spans="1:22" ht="12.75">
      <c r="A77" s="121">
        <f>+A76+1</f>
        <v>69</v>
      </c>
      <c r="B77" s="35" t="s">
        <v>220</v>
      </c>
      <c r="C77" s="40">
        <f t="shared" si="18"/>
        <v>154.251</v>
      </c>
      <c r="D77" s="38">
        <f t="shared" si="18"/>
        <v>154.251</v>
      </c>
      <c r="E77" s="38">
        <f t="shared" si="18"/>
        <v>87.856</v>
      </c>
      <c r="F77" s="39"/>
      <c r="G77" s="40">
        <f>+H77</f>
        <v>102.159</v>
      </c>
      <c r="H77" s="38">
        <v>102.159</v>
      </c>
      <c r="I77" s="38">
        <v>54.658</v>
      </c>
      <c r="J77" s="41"/>
      <c r="K77" s="40"/>
      <c r="L77" s="38"/>
      <c r="M77" s="38"/>
      <c r="N77" s="41"/>
      <c r="O77" s="40">
        <f t="shared" si="11"/>
        <v>44.892</v>
      </c>
      <c r="P77" s="38">
        <v>44.892</v>
      </c>
      <c r="Q77" s="38">
        <v>33.198</v>
      </c>
      <c r="R77" s="41"/>
      <c r="S77" s="36">
        <f t="shared" si="12"/>
        <v>7.2</v>
      </c>
      <c r="T77" s="38">
        <v>7.2</v>
      </c>
      <c r="U77" s="38"/>
      <c r="V77" s="41"/>
    </row>
    <row r="78" spans="1:22" ht="12.75">
      <c r="A78" s="121">
        <v>70</v>
      </c>
      <c r="B78" s="73" t="s">
        <v>221</v>
      </c>
      <c r="C78" s="40">
        <f>+G78+K78+O78+S78</f>
        <v>41.171</v>
      </c>
      <c r="D78" s="38">
        <f t="shared" si="18"/>
        <v>41.171</v>
      </c>
      <c r="E78" s="38">
        <f t="shared" si="18"/>
        <v>28.078000000000003</v>
      </c>
      <c r="F78" s="39"/>
      <c r="G78" s="40">
        <f>+H78</f>
        <v>39.659</v>
      </c>
      <c r="H78" s="38">
        <v>39.659</v>
      </c>
      <c r="I78" s="38">
        <v>27.382</v>
      </c>
      <c r="J78" s="41"/>
      <c r="K78" s="40"/>
      <c r="L78" s="38"/>
      <c r="M78" s="38"/>
      <c r="N78" s="41"/>
      <c r="O78" s="40"/>
      <c r="P78" s="38"/>
      <c r="Q78" s="38"/>
      <c r="R78" s="41"/>
      <c r="S78" s="36">
        <f t="shared" si="12"/>
        <v>1.512</v>
      </c>
      <c r="T78" s="38">
        <v>1.512</v>
      </c>
      <c r="U78" s="38">
        <v>0.696</v>
      </c>
      <c r="V78" s="41"/>
    </row>
    <row r="79" spans="1:22" ht="12.75">
      <c r="A79" s="121">
        <f aca="true" t="shared" si="19" ref="A79:A142">+A78+1</f>
        <v>71</v>
      </c>
      <c r="B79" s="35" t="s">
        <v>64</v>
      </c>
      <c r="C79" s="40">
        <f aca="true" t="shared" si="20" ref="C79:F164">G79+K79+O79+S79</f>
        <v>660.677</v>
      </c>
      <c r="D79" s="38">
        <f>H79+L79+P79+T79</f>
        <v>659.548</v>
      </c>
      <c r="E79" s="38">
        <f>I79+M79+Q79+U79</f>
        <v>439.84999999999997</v>
      </c>
      <c r="F79" s="38">
        <f>+J79+N79+R79+V79</f>
        <v>1.129</v>
      </c>
      <c r="G79" s="40">
        <f>H79+J79</f>
        <v>208.932</v>
      </c>
      <c r="H79" s="38">
        <v>207.803</v>
      </c>
      <c r="I79" s="38">
        <v>118.344</v>
      </c>
      <c r="J79" s="41">
        <v>1.129</v>
      </c>
      <c r="K79" s="126"/>
      <c r="L79" s="124"/>
      <c r="M79" s="124"/>
      <c r="N79" s="123"/>
      <c r="O79" s="40">
        <f t="shared" si="11"/>
        <v>428.745</v>
      </c>
      <c r="P79" s="38">
        <v>428.745</v>
      </c>
      <c r="Q79" s="38">
        <v>321.506</v>
      </c>
      <c r="R79" s="41"/>
      <c r="S79" s="36">
        <f t="shared" si="12"/>
        <v>23</v>
      </c>
      <c r="T79" s="38">
        <v>23</v>
      </c>
      <c r="U79" s="38"/>
      <c r="V79" s="41"/>
    </row>
    <row r="80" spans="1:22" ht="12.75">
      <c r="A80" s="121">
        <f t="shared" si="19"/>
        <v>72</v>
      </c>
      <c r="B80" s="73" t="s">
        <v>222</v>
      </c>
      <c r="C80" s="40">
        <f t="shared" si="20"/>
        <v>34.462</v>
      </c>
      <c r="D80" s="38">
        <f>H80+L80+P80+T80</f>
        <v>34.462</v>
      </c>
      <c r="E80" s="38">
        <f>I80+M80+Q80+U80</f>
        <v>25.736</v>
      </c>
      <c r="F80" s="39"/>
      <c r="G80" s="40">
        <f>H80+J80</f>
        <v>32.862</v>
      </c>
      <c r="H80" s="38">
        <v>32.862</v>
      </c>
      <c r="I80" s="38">
        <v>25</v>
      </c>
      <c r="J80" s="41"/>
      <c r="K80" s="40"/>
      <c r="L80" s="38"/>
      <c r="M80" s="38"/>
      <c r="N80" s="41"/>
      <c r="O80" s="40"/>
      <c r="P80" s="38"/>
      <c r="Q80" s="38"/>
      <c r="R80" s="41"/>
      <c r="S80" s="36">
        <f t="shared" si="12"/>
        <v>1.6</v>
      </c>
      <c r="T80" s="38">
        <v>1.6</v>
      </c>
      <c r="U80" s="38">
        <v>0.736</v>
      </c>
      <c r="V80" s="41"/>
    </row>
    <row r="81" spans="1:22" ht="12.75">
      <c r="A81" s="121">
        <f t="shared" si="19"/>
        <v>73</v>
      </c>
      <c r="B81" s="35" t="s">
        <v>178</v>
      </c>
      <c r="C81" s="40">
        <f aca="true" t="shared" si="21" ref="C81:E88">+G81+K81+O81+S81</f>
        <v>778.9019999999999</v>
      </c>
      <c r="D81" s="38">
        <f t="shared" si="21"/>
        <v>778.9019999999999</v>
      </c>
      <c r="E81" s="38">
        <f t="shared" si="21"/>
        <v>465.164</v>
      </c>
      <c r="F81" s="39"/>
      <c r="G81" s="40">
        <f aca="true" t="shared" si="22" ref="G81:G88">+H81</f>
        <v>341.571</v>
      </c>
      <c r="H81" s="38">
        <v>341.571</v>
      </c>
      <c r="I81" s="38">
        <v>160.738</v>
      </c>
      <c r="J81" s="123"/>
      <c r="K81" s="126"/>
      <c r="L81" s="124"/>
      <c r="M81" s="124"/>
      <c r="N81" s="123"/>
      <c r="O81" s="40">
        <f t="shared" si="11"/>
        <v>405.931</v>
      </c>
      <c r="P81" s="38">
        <v>405.931</v>
      </c>
      <c r="Q81" s="38">
        <v>304.426</v>
      </c>
      <c r="R81" s="123"/>
      <c r="S81" s="36">
        <f>+T81</f>
        <v>31.4</v>
      </c>
      <c r="T81" s="38">
        <v>31.4</v>
      </c>
      <c r="U81" s="38"/>
      <c r="V81" s="41"/>
    </row>
    <row r="82" spans="1:22" ht="12.75">
      <c r="A82" s="121">
        <f t="shared" si="19"/>
        <v>74</v>
      </c>
      <c r="B82" s="35" t="s">
        <v>80</v>
      </c>
      <c r="C82" s="40">
        <f t="shared" si="21"/>
        <v>325.79599999999994</v>
      </c>
      <c r="D82" s="38">
        <f t="shared" si="21"/>
        <v>325.79599999999994</v>
      </c>
      <c r="E82" s="38">
        <f t="shared" si="21"/>
        <v>207.632</v>
      </c>
      <c r="F82" s="39"/>
      <c r="G82" s="40">
        <f>+H82+J82</f>
        <v>16.977</v>
      </c>
      <c r="H82" s="38">
        <v>16.977</v>
      </c>
      <c r="I82" s="38"/>
      <c r="J82" s="41"/>
      <c r="K82" s="40">
        <f>L82+N82</f>
        <v>136.1</v>
      </c>
      <c r="L82" s="38">
        <v>136.1</v>
      </c>
      <c r="M82" s="38">
        <v>82.593</v>
      </c>
      <c r="N82" s="41"/>
      <c r="O82" s="40">
        <f t="shared" si="11"/>
        <v>165.319</v>
      </c>
      <c r="P82" s="38">
        <v>165.319</v>
      </c>
      <c r="Q82" s="38">
        <v>125.039</v>
      </c>
      <c r="R82" s="41"/>
      <c r="S82" s="36">
        <f>+T82</f>
        <v>7.4</v>
      </c>
      <c r="T82" s="38">
        <v>7.4</v>
      </c>
      <c r="U82" s="38"/>
      <c r="V82" s="41"/>
    </row>
    <row r="83" spans="1:22" ht="12.75">
      <c r="A83" s="121">
        <v>75</v>
      </c>
      <c r="B83" s="35" t="s">
        <v>179</v>
      </c>
      <c r="C83" s="40">
        <f t="shared" si="21"/>
        <v>406.804</v>
      </c>
      <c r="D83" s="38">
        <f t="shared" si="21"/>
        <v>406.804</v>
      </c>
      <c r="E83" s="38">
        <f t="shared" si="21"/>
        <v>294.001</v>
      </c>
      <c r="F83" s="39"/>
      <c r="G83" s="40">
        <f t="shared" si="22"/>
        <v>352.599</v>
      </c>
      <c r="H83" s="38">
        <v>352.599</v>
      </c>
      <c r="I83" s="38">
        <v>261.885</v>
      </c>
      <c r="J83" s="123"/>
      <c r="K83" s="126"/>
      <c r="L83" s="124"/>
      <c r="M83" s="124"/>
      <c r="N83" s="123"/>
      <c r="O83" s="40">
        <f t="shared" si="11"/>
        <v>25.705</v>
      </c>
      <c r="P83" s="38">
        <v>25.705</v>
      </c>
      <c r="Q83" s="38">
        <v>19.7</v>
      </c>
      <c r="R83" s="41"/>
      <c r="S83" s="36">
        <f>+T83+V83</f>
        <v>28.5</v>
      </c>
      <c r="T83" s="38">
        <v>28.5</v>
      </c>
      <c r="U83" s="38">
        <v>12.416</v>
      </c>
      <c r="V83" s="41"/>
    </row>
    <row r="84" spans="1:22" ht="12.75">
      <c r="A84" s="121">
        <f t="shared" si="19"/>
        <v>76</v>
      </c>
      <c r="B84" s="35" t="s">
        <v>77</v>
      </c>
      <c r="C84" s="40">
        <f t="shared" si="21"/>
        <v>119.569</v>
      </c>
      <c r="D84" s="38">
        <f t="shared" si="21"/>
        <v>119.569</v>
      </c>
      <c r="E84" s="38">
        <f t="shared" si="21"/>
        <v>86.772</v>
      </c>
      <c r="F84" s="39"/>
      <c r="G84" s="40">
        <f t="shared" si="22"/>
        <v>94.294</v>
      </c>
      <c r="H84" s="38">
        <v>94.294</v>
      </c>
      <c r="I84" s="38">
        <v>71.525</v>
      </c>
      <c r="J84" s="123"/>
      <c r="K84" s="126"/>
      <c r="L84" s="124"/>
      <c r="M84" s="124"/>
      <c r="N84" s="123"/>
      <c r="O84" s="40">
        <f t="shared" si="11"/>
        <v>13.775</v>
      </c>
      <c r="P84" s="38">
        <v>13.775</v>
      </c>
      <c r="Q84" s="38">
        <v>10.557</v>
      </c>
      <c r="R84" s="41"/>
      <c r="S84" s="36">
        <f aca="true" t="shared" si="23" ref="S84:S89">T84+V84</f>
        <v>11.5</v>
      </c>
      <c r="T84" s="38">
        <v>11.5</v>
      </c>
      <c r="U84" s="38">
        <v>4.69</v>
      </c>
      <c r="V84" s="41"/>
    </row>
    <row r="85" spans="1:22" ht="12.75">
      <c r="A85" s="121">
        <f t="shared" si="19"/>
        <v>77</v>
      </c>
      <c r="B85" s="73" t="s">
        <v>68</v>
      </c>
      <c r="C85" s="40">
        <f t="shared" si="21"/>
        <v>86.653</v>
      </c>
      <c r="D85" s="38">
        <f t="shared" si="21"/>
        <v>86.653</v>
      </c>
      <c r="E85" s="38">
        <f t="shared" si="21"/>
        <v>47.442</v>
      </c>
      <c r="F85" s="39"/>
      <c r="G85" s="40">
        <f t="shared" si="22"/>
        <v>65.653</v>
      </c>
      <c r="H85" s="38">
        <v>65.653</v>
      </c>
      <c r="I85" s="38">
        <v>47.442</v>
      </c>
      <c r="J85" s="123"/>
      <c r="K85" s="126"/>
      <c r="L85" s="124"/>
      <c r="M85" s="124"/>
      <c r="N85" s="123"/>
      <c r="O85" s="40"/>
      <c r="P85" s="38"/>
      <c r="Q85" s="38"/>
      <c r="R85" s="41"/>
      <c r="S85" s="36">
        <f t="shared" si="23"/>
        <v>21</v>
      </c>
      <c r="T85" s="38">
        <v>21</v>
      </c>
      <c r="U85" s="38"/>
      <c r="V85" s="41"/>
    </row>
    <row r="86" spans="1:22" ht="12.75">
      <c r="A86" s="121">
        <v>78</v>
      </c>
      <c r="B86" s="73" t="s">
        <v>223</v>
      </c>
      <c r="C86" s="40">
        <f t="shared" si="21"/>
        <v>90.529</v>
      </c>
      <c r="D86" s="38">
        <f t="shared" si="21"/>
        <v>90.529</v>
      </c>
      <c r="E86" s="38">
        <f t="shared" si="21"/>
        <v>67.105</v>
      </c>
      <c r="F86" s="39"/>
      <c r="G86" s="40">
        <f t="shared" si="22"/>
        <v>31.66</v>
      </c>
      <c r="H86" s="38">
        <v>31.66</v>
      </c>
      <c r="I86" s="38">
        <v>22.754</v>
      </c>
      <c r="J86" s="123"/>
      <c r="K86" s="126"/>
      <c r="L86" s="124"/>
      <c r="M86" s="124"/>
      <c r="N86" s="123"/>
      <c r="O86" s="40">
        <f t="shared" si="11"/>
        <v>57.869</v>
      </c>
      <c r="P86" s="38">
        <v>57.869</v>
      </c>
      <c r="Q86" s="38">
        <v>44.351</v>
      </c>
      <c r="R86" s="41"/>
      <c r="S86" s="36">
        <f t="shared" si="23"/>
        <v>1</v>
      </c>
      <c r="T86" s="38">
        <v>1</v>
      </c>
      <c r="U86" s="38"/>
      <c r="V86" s="41"/>
    </row>
    <row r="87" spans="1:22" ht="12.75">
      <c r="A87" s="121">
        <f t="shared" si="19"/>
        <v>79</v>
      </c>
      <c r="B87" s="35" t="s">
        <v>180</v>
      </c>
      <c r="C87" s="40">
        <f t="shared" si="21"/>
        <v>227.31699999999998</v>
      </c>
      <c r="D87" s="38">
        <f t="shared" si="21"/>
        <v>227.31699999999998</v>
      </c>
      <c r="E87" s="38">
        <f t="shared" si="21"/>
        <v>146.53799999999998</v>
      </c>
      <c r="F87" s="39"/>
      <c r="G87" s="40">
        <f t="shared" si="22"/>
        <v>159.314</v>
      </c>
      <c r="H87" s="38">
        <v>159.314</v>
      </c>
      <c r="I87" s="38">
        <v>103.696</v>
      </c>
      <c r="J87" s="123"/>
      <c r="K87" s="126"/>
      <c r="L87" s="124"/>
      <c r="M87" s="124"/>
      <c r="N87" s="123"/>
      <c r="O87" s="40">
        <f t="shared" si="11"/>
        <v>56.303</v>
      </c>
      <c r="P87" s="38">
        <v>56.303</v>
      </c>
      <c r="Q87" s="38">
        <v>41.646</v>
      </c>
      <c r="R87" s="41"/>
      <c r="S87" s="36">
        <f t="shared" si="23"/>
        <v>11.7</v>
      </c>
      <c r="T87" s="38">
        <v>11.7</v>
      </c>
      <c r="U87" s="38">
        <v>1.196</v>
      </c>
      <c r="V87" s="41"/>
    </row>
    <row r="88" spans="1:22" ht="12.75">
      <c r="A88" s="121">
        <v>80</v>
      </c>
      <c r="B88" s="35" t="s">
        <v>224</v>
      </c>
      <c r="C88" s="51">
        <f t="shared" si="21"/>
        <v>67.899</v>
      </c>
      <c r="D88" s="38">
        <f t="shared" si="21"/>
        <v>67.899</v>
      </c>
      <c r="E88" s="36">
        <f t="shared" si="21"/>
        <v>43.929</v>
      </c>
      <c r="F88" s="39"/>
      <c r="G88" s="40">
        <f t="shared" si="22"/>
        <v>40.21</v>
      </c>
      <c r="H88" s="38">
        <v>40.21</v>
      </c>
      <c r="I88" s="38">
        <v>25.751</v>
      </c>
      <c r="J88" s="123"/>
      <c r="K88" s="126"/>
      <c r="L88" s="124"/>
      <c r="M88" s="124"/>
      <c r="N88" s="123"/>
      <c r="O88" s="40">
        <f t="shared" si="11"/>
        <v>24.589</v>
      </c>
      <c r="P88" s="38">
        <v>24.589</v>
      </c>
      <c r="Q88" s="38">
        <v>18.178</v>
      </c>
      <c r="R88" s="41"/>
      <c r="S88" s="36">
        <f t="shared" si="23"/>
        <v>3.1</v>
      </c>
      <c r="T88" s="38">
        <v>3.1</v>
      </c>
      <c r="U88" s="38"/>
      <c r="V88" s="41"/>
    </row>
    <row r="89" spans="1:22" ht="12.75">
      <c r="A89" s="121">
        <v>81</v>
      </c>
      <c r="B89" s="73" t="s">
        <v>39</v>
      </c>
      <c r="C89" s="40">
        <f t="shared" si="20"/>
        <v>14.457</v>
      </c>
      <c r="D89" s="38">
        <f t="shared" si="20"/>
        <v>14.457</v>
      </c>
      <c r="E89" s="38">
        <f t="shared" si="20"/>
        <v>11.08</v>
      </c>
      <c r="F89" s="39">
        <f>+J89+N89+R89+V89</f>
        <v>0</v>
      </c>
      <c r="G89" s="40">
        <f aca="true" t="shared" si="24" ref="G89:G171">H89+J89</f>
        <v>0</v>
      </c>
      <c r="H89" s="38"/>
      <c r="I89" s="38"/>
      <c r="J89" s="41"/>
      <c r="K89" s="126"/>
      <c r="L89" s="124"/>
      <c r="M89" s="124"/>
      <c r="N89" s="123"/>
      <c r="O89" s="40">
        <f t="shared" si="11"/>
        <v>14.457</v>
      </c>
      <c r="P89" s="38">
        <v>14.457</v>
      </c>
      <c r="Q89" s="38">
        <v>11.08</v>
      </c>
      <c r="R89" s="41"/>
      <c r="S89" s="36">
        <f t="shared" si="23"/>
        <v>0</v>
      </c>
      <c r="T89" s="38"/>
      <c r="U89" s="38"/>
      <c r="V89" s="41"/>
    </row>
    <row r="90" spans="1:22" ht="12.75">
      <c r="A90" s="121">
        <v>82</v>
      </c>
      <c r="B90" s="55" t="s">
        <v>225</v>
      </c>
      <c r="C90" s="29">
        <f t="shared" si="20"/>
        <v>0</v>
      </c>
      <c r="D90" s="32">
        <f t="shared" si="20"/>
        <v>0</v>
      </c>
      <c r="E90" s="32"/>
      <c r="F90" s="39"/>
      <c r="G90" s="29">
        <f t="shared" si="24"/>
        <v>0</v>
      </c>
      <c r="H90" s="32"/>
      <c r="I90" s="38"/>
      <c r="J90" s="41"/>
      <c r="K90" s="126"/>
      <c r="L90" s="124"/>
      <c r="M90" s="124"/>
      <c r="N90" s="123"/>
      <c r="O90" s="40"/>
      <c r="P90" s="38"/>
      <c r="Q90" s="38"/>
      <c r="R90" s="41"/>
      <c r="S90" s="36"/>
      <c r="T90" s="38"/>
      <c r="U90" s="38"/>
      <c r="V90" s="41"/>
    </row>
    <row r="91" spans="1:22" ht="12.75">
      <c r="A91" s="121">
        <v>83</v>
      </c>
      <c r="B91" s="35" t="s">
        <v>42</v>
      </c>
      <c r="C91" s="40">
        <f t="shared" si="20"/>
        <v>0</v>
      </c>
      <c r="D91" s="38">
        <f t="shared" si="20"/>
        <v>0</v>
      </c>
      <c r="E91" s="38">
        <f t="shared" si="20"/>
        <v>0</v>
      </c>
      <c r="F91" s="39"/>
      <c r="G91" s="40">
        <f t="shared" si="24"/>
        <v>0</v>
      </c>
      <c r="H91" s="38"/>
      <c r="I91" s="38"/>
      <c r="J91" s="45"/>
      <c r="K91" s="126"/>
      <c r="L91" s="124"/>
      <c r="M91" s="124"/>
      <c r="N91" s="123"/>
      <c r="O91" s="40"/>
      <c r="P91" s="38"/>
      <c r="Q91" s="38"/>
      <c r="R91" s="41"/>
      <c r="S91" s="36"/>
      <c r="T91" s="38"/>
      <c r="U91" s="38"/>
      <c r="V91" s="41"/>
    </row>
    <row r="92" spans="1:22" ht="12.75">
      <c r="A92" s="121">
        <v>84</v>
      </c>
      <c r="B92" s="35" t="s">
        <v>43</v>
      </c>
      <c r="C92" s="40">
        <f t="shared" si="20"/>
        <v>0</v>
      </c>
      <c r="D92" s="38">
        <f t="shared" si="20"/>
        <v>0</v>
      </c>
      <c r="E92" s="38">
        <f t="shared" si="20"/>
        <v>0</v>
      </c>
      <c r="F92" s="39"/>
      <c r="G92" s="40">
        <f t="shared" si="24"/>
        <v>0</v>
      </c>
      <c r="H92" s="38"/>
      <c r="I92" s="38"/>
      <c r="J92" s="45"/>
      <c r="K92" s="126"/>
      <c r="L92" s="124"/>
      <c r="M92" s="124"/>
      <c r="N92" s="123"/>
      <c r="O92" s="40"/>
      <c r="P92" s="38"/>
      <c r="Q92" s="38"/>
      <c r="R92" s="41"/>
      <c r="S92" s="36"/>
      <c r="T92" s="38"/>
      <c r="U92" s="38"/>
      <c r="V92" s="41"/>
    </row>
    <row r="93" spans="1:22" ht="12.75">
      <c r="A93" s="121">
        <v>85</v>
      </c>
      <c r="B93" s="35" t="s">
        <v>44</v>
      </c>
      <c r="C93" s="40">
        <f t="shared" si="20"/>
        <v>0</v>
      </c>
      <c r="D93" s="38">
        <f t="shared" si="20"/>
        <v>0</v>
      </c>
      <c r="E93" s="38">
        <f t="shared" si="20"/>
        <v>0</v>
      </c>
      <c r="F93" s="39"/>
      <c r="G93" s="40">
        <f t="shared" si="24"/>
        <v>0</v>
      </c>
      <c r="H93" s="38"/>
      <c r="I93" s="38"/>
      <c r="J93" s="41"/>
      <c r="K93" s="126"/>
      <c r="L93" s="124"/>
      <c r="M93" s="124"/>
      <c r="N93" s="123"/>
      <c r="O93" s="40"/>
      <c r="P93" s="38"/>
      <c r="Q93" s="38"/>
      <c r="R93" s="41"/>
      <c r="S93" s="130"/>
      <c r="T93" s="32"/>
      <c r="U93" s="32"/>
      <c r="V93" s="45"/>
    </row>
    <row r="94" spans="1:22" ht="12.75">
      <c r="A94" s="121">
        <f t="shared" si="19"/>
        <v>86</v>
      </c>
      <c r="B94" s="35" t="s">
        <v>45</v>
      </c>
      <c r="C94" s="40">
        <f t="shared" si="20"/>
        <v>0</v>
      </c>
      <c r="D94" s="38">
        <f t="shared" si="20"/>
        <v>0</v>
      </c>
      <c r="E94" s="38">
        <f t="shared" si="20"/>
        <v>0</v>
      </c>
      <c r="F94" s="39"/>
      <c r="G94" s="40">
        <f t="shared" si="24"/>
        <v>0</v>
      </c>
      <c r="H94" s="38"/>
      <c r="I94" s="38"/>
      <c r="J94" s="45"/>
      <c r="K94" s="126"/>
      <c r="L94" s="124"/>
      <c r="M94" s="124"/>
      <c r="N94" s="123"/>
      <c r="O94" s="40"/>
      <c r="P94" s="38"/>
      <c r="Q94" s="38"/>
      <c r="R94" s="41"/>
      <c r="S94" s="130"/>
      <c r="T94" s="32"/>
      <c r="U94" s="32"/>
      <c r="V94" s="45"/>
    </row>
    <row r="95" spans="1:22" ht="12.75">
      <c r="A95" s="121">
        <f t="shared" si="19"/>
        <v>87</v>
      </c>
      <c r="B95" s="35" t="s">
        <v>46</v>
      </c>
      <c r="C95" s="40">
        <f t="shared" si="20"/>
        <v>0</v>
      </c>
      <c r="D95" s="38">
        <f t="shared" si="20"/>
        <v>0</v>
      </c>
      <c r="E95" s="38">
        <f t="shared" si="20"/>
        <v>0</v>
      </c>
      <c r="F95" s="39"/>
      <c r="G95" s="40">
        <f t="shared" si="24"/>
        <v>0</v>
      </c>
      <c r="H95" s="38"/>
      <c r="I95" s="38"/>
      <c r="J95" s="45"/>
      <c r="K95" s="126"/>
      <c r="L95" s="124"/>
      <c r="M95" s="124"/>
      <c r="N95" s="123"/>
      <c r="O95" s="40"/>
      <c r="P95" s="38"/>
      <c r="Q95" s="38"/>
      <c r="R95" s="41"/>
      <c r="S95" s="130"/>
      <c r="T95" s="32"/>
      <c r="U95" s="32"/>
      <c r="V95" s="45"/>
    </row>
    <row r="96" spans="1:22" ht="12.75">
      <c r="A96" s="121">
        <f t="shared" si="19"/>
        <v>88</v>
      </c>
      <c r="B96" s="35" t="s">
        <v>47</v>
      </c>
      <c r="C96" s="40">
        <f t="shared" si="20"/>
        <v>0</v>
      </c>
      <c r="D96" s="38">
        <f t="shared" si="20"/>
        <v>0</v>
      </c>
      <c r="E96" s="38">
        <f t="shared" si="20"/>
        <v>0</v>
      </c>
      <c r="F96" s="39"/>
      <c r="G96" s="40">
        <f t="shared" si="24"/>
        <v>0</v>
      </c>
      <c r="H96" s="38"/>
      <c r="I96" s="38"/>
      <c r="J96" s="45"/>
      <c r="K96" s="126"/>
      <c r="L96" s="124"/>
      <c r="M96" s="124"/>
      <c r="N96" s="123"/>
      <c r="O96" s="40"/>
      <c r="P96" s="38"/>
      <c r="Q96" s="38"/>
      <c r="R96" s="41"/>
      <c r="S96" s="130"/>
      <c r="T96" s="32"/>
      <c r="U96" s="32"/>
      <c r="V96" s="45"/>
    </row>
    <row r="97" spans="1:22" ht="12.75">
      <c r="A97" s="121">
        <v>89</v>
      </c>
      <c r="B97" s="35" t="s">
        <v>49</v>
      </c>
      <c r="C97" s="40">
        <f>G97+K97+O97+S97</f>
        <v>0</v>
      </c>
      <c r="D97" s="38">
        <f t="shared" si="20"/>
        <v>0</v>
      </c>
      <c r="E97" s="38"/>
      <c r="F97" s="39"/>
      <c r="G97" s="40">
        <f>H97+J97</f>
        <v>0</v>
      </c>
      <c r="H97" s="38"/>
      <c r="I97" s="38"/>
      <c r="J97" s="45"/>
      <c r="K97" s="126"/>
      <c r="L97" s="124"/>
      <c r="M97" s="124"/>
      <c r="N97" s="123"/>
      <c r="O97" s="40"/>
      <c r="P97" s="38"/>
      <c r="Q97" s="38"/>
      <c r="R97" s="41"/>
      <c r="S97" s="130"/>
      <c r="T97" s="32"/>
      <c r="U97" s="32"/>
      <c r="V97" s="45"/>
    </row>
    <row r="98" spans="1:22" ht="13.5" thickBot="1">
      <c r="A98" s="150">
        <f t="shared" si="19"/>
        <v>90</v>
      </c>
      <c r="B98" s="58" t="s">
        <v>73</v>
      </c>
      <c r="C98" s="62">
        <f>G98+K98+O98+S98</f>
        <v>0</v>
      </c>
      <c r="D98" s="60">
        <f t="shared" si="20"/>
        <v>0</v>
      </c>
      <c r="E98" s="60"/>
      <c r="F98" s="61"/>
      <c r="G98" s="62">
        <f>H98+J98</f>
        <v>0</v>
      </c>
      <c r="H98" s="60"/>
      <c r="I98" s="60"/>
      <c r="J98" s="67"/>
      <c r="K98" s="151"/>
      <c r="L98" s="152"/>
      <c r="M98" s="152"/>
      <c r="N98" s="153"/>
      <c r="O98" s="77"/>
      <c r="P98" s="76"/>
      <c r="Q98" s="76"/>
      <c r="R98" s="79"/>
      <c r="S98" s="154"/>
      <c r="T98" s="155"/>
      <c r="U98" s="155"/>
      <c r="V98" s="78"/>
    </row>
    <row r="99" spans="1:22" ht="45.75" thickBot="1">
      <c r="A99" s="101">
        <f t="shared" si="19"/>
        <v>91</v>
      </c>
      <c r="B99" s="102" t="s">
        <v>226</v>
      </c>
      <c r="C99" s="156">
        <f>G99+K99+O99+S99</f>
        <v>65.315</v>
      </c>
      <c r="D99" s="157">
        <f t="shared" si="20"/>
        <v>65.315</v>
      </c>
      <c r="E99" s="89">
        <f t="shared" si="20"/>
        <v>37.926</v>
      </c>
      <c r="F99" s="95">
        <f t="shared" si="20"/>
        <v>0</v>
      </c>
      <c r="G99" s="89">
        <f>G100+G111+G114+G117+G118+SUM(G122:G133)+G135+G138+G139</f>
        <v>60.915</v>
      </c>
      <c r="H99" s="89">
        <f>H100+H111+H114+H117+H118+SUM(H122:H133)+H135+H138+H139</f>
        <v>60.915</v>
      </c>
      <c r="I99" s="89">
        <f>I100+I111+I114+SUM(I117:I133)+I135+I138+I139</f>
        <v>37.926</v>
      </c>
      <c r="J99" s="89"/>
      <c r="K99" s="158"/>
      <c r="L99" s="159"/>
      <c r="M99" s="159"/>
      <c r="N99" s="137"/>
      <c r="O99" s="158"/>
      <c r="P99" s="159"/>
      <c r="Q99" s="159"/>
      <c r="R99" s="137"/>
      <c r="S99" s="96">
        <f>S100+SUM(S111:S133)+S135+S138+S139</f>
        <v>4.4</v>
      </c>
      <c r="T99" s="157">
        <f>SUM(T111:T139)</f>
        <v>4.4</v>
      </c>
      <c r="U99" s="89">
        <f>SUM(U111:U138)</f>
        <v>0</v>
      </c>
      <c r="V99" s="95">
        <f>SUM(V111:V138)</f>
        <v>0</v>
      </c>
    </row>
    <row r="100" spans="1:22" ht="25.5">
      <c r="A100" s="106">
        <f t="shared" si="19"/>
        <v>92</v>
      </c>
      <c r="B100" s="160" t="s">
        <v>227</v>
      </c>
      <c r="C100" s="118">
        <f t="shared" si="20"/>
        <v>0</v>
      </c>
      <c r="D100" s="113">
        <f t="shared" si="20"/>
        <v>0</v>
      </c>
      <c r="E100" s="113"/>
      <c r="F100" s="117"/>
      <c r="G100" s="161">
        <f>SUM(G101:G110)-G104-G105</f>
        <v>0</v>
      </c>
      <c r="H100" s="141">
        <f>SUM(H101:H110)-H104-H105</f>
        <v>0</v>
      </c>
      <c r="I100" s="141"/>
      <c r="J100" s="142"/>
      <c r="K100" s="162"/>
      <c r="L100" s="147"/>
      <c r="M100" s="147"/>
      <c r="N100" s="143"/>
      <c r="O100" s="162"/>
      <c r="P100" s="147"/>
      <c r="Q100" s="147"/>
      <c r="R100" s="143"/>
      <c r="S100" s="162"/>
      <c r="T100" s="147"/>
      <c r="U100" s="147"/>
      <c r="V100" s="143"/>
    </row>
    <row r="101" spans="1:22" ht="12.75">
      <c r="A101" s="121">
        <f t="shared" si="19"/>
        <v>93</v>
      </c>
      <c r="B101" s="56" t="s">
        <v>228</v>
      </c>
      <c r="C101" s="29">
        <f t="shared" si="20"/>
        <v>0</v>
      </c>
      <c r="D101" s="124">
        <f t="shared" si="20"/>
        <v>0</v>
      </c>
      <c r="E101" s="124"/>
      <c r="F101" s="125"/>
      <c r="G101" s="126">
        <f t="shared" si="24"/>
        <v>0</v>
      </c>
      <c r="H101" s="124"/>
      <c r="I101" s="124"/>
      <c r="J101" s="123"/>
      <c r="K101" s="126"/>
      <c r="L101" s="124"/>
      <c r="M101" s="124"/>
      <c r="N101" s="123"/>
      <c r="O101" s="126"/>
      <c r="P101" s="124"/>
      <c r="Q101" s="124"/>
      <c r="R101" s="123"/>
      <c r="S101" s="126"/>
      <c r="T101" s="124"/>
      <c r="U101" s="124"/>
      <c r="V101" s="123"/>
    </row>
    <row r="102" spans="1:22" ht="12.75">
      <c r="A102" s="121">
        <f t="shared" si="19"/>
        <v>94</v>
      </c>
      <c r="B102" s="56" t="s">
        <v>229</v>
      </c>
      <c r="C102" s="29">
        <f t="shared" si="20"/>
        <v>0</v>
      </c>
      <c r="D102" s="124">
        <f t="shared" si="20"/>
        <v>0</v>
      </c>
      <c r="E102" s="124"/>
      <c r="F102" s="125"/>
      <c r="G102" s="126">
        <f t="shared" si="24"/>
        <v>0</v>
      </c>
      <c r="H102" s="124"/>
      <c r="I102" s="124"/>
      <c r="J102" s="123"/>
      <c r="K102" s="126"/>
      <c r="L102" s="124"/>
      <c r="M102" s="124"/>
      <c r="N102" s="123"/>
      <c r="O102" s="126"/>
      <c r="P102" s="124"/>
      <c r="Q102" s="124"/>
      <c r="R102" s="123"/>
      <c r="S102" s="126"/>
      <c r="T102" s="124"/>
      <c r="U102" s="124"/>
      <c r="V102" s="123"/>
    </row>
    <row r="103" spans="1:22" ht="12.75">
      <c r="A103" s="121">
        <v>95</v>
      </c>
      <c r="B103" s="149" t="s">
        <v>230</v>
      </c>
      <c r="C103" s="29">
        <f t="shared" si="20"/>
        <v>0</v>
      </c>
      <c r="D103" s="124">
        <f t="shared" si="20"/>
        <v>0</v>
      </c>
      <c r="E103" s="124"/>
      <c r="F103" s="125"/>
      <c r="G103" s="126">
        <f t="shared" si="24"/>
        <v>0</v>
      </c>
      <c r="H103" s="124"/>
      <c r="I103" s="124"/>
      <c r="J103" s="123"/>
      <c r="K103" s="126"/>
      <c r="L103" s="124"/>
      <c r="M103" s="124"/>
      <c r="N103" s="123"/>
      <c r="O103" s="126"/>
      <c r="P103" s="124"/>
      <c r="Q103" s="124"/>
      <c r="R103" s="123"/>
      <c r="S103" s="126"/>
      <c r="T103" s="124"/>
      <c r="U103" s="124"/>
      <c r="V103" s="123"/>
    </row>
    <row r="104" spans="1:22" ht="12.75">
      <c r="A104" s="121">
        <f t="shared" si="19"/>
        <v>96</v>
      </c>
      <c r="B104" s="149" t="s">
        <v>231</v>
      </c>
      <c r="C104" s="29">
        <f t="shared" si="20"/>
        <v>0</v>
      </c>
      <c r="D104" s="124">
        <f t="shared" si="20"/>
        <v>0</v>
      </c>
      <c r="E104" s="124"/>
      <c r="F104" s="125"/>
      <c r="G104" s="126">
        <f t="shared" si="24"/>
        <v>0</v>
      </c>
      <c r="H104" s="124"/>
      <c r="I104" s="124"/>
      <c r="J104" s="123"/>
      <c r="K104" s="126"/>
      <c r="L104" s="124"/>
      <c r="M104" s="124"/>
      <c r="N104" s="123"/>
      <c r="O104" s="126"/>
      <c r="P104" s="124"/>
      <c r="Q104" s="124"/>
      <c r="R104" s="123"/>
      <c r="S104" s="126"/>
      <c r="T104" s="124"/>
      <c r="U104" s="124"/>
      <c r="V104" s="123"/>
    </row>
    <row r="105" spans="1:22" ht="12.75">
      <c r="A105" s="121">
        <v>97</v>
      </c>
      <c r="B105" s="149" t="s">
        <v>232</v>
      </c>
      <c r="C105" s="29">
        <f t="shared" si="20"/>
        <v>0</v>
      </c>
      <c r="D105" s="124">
        <f t="shared" si="20"/>
        <v>0</v>
      </c>
      <c r="E105" s="124"/>
      <c r="F105" s="125"/>
      <c r="G105" s="126">
        <f t="shared" si="24"/>
        <v>0</v>
      </c>
      <c r="H105" s="124"/>
      <c r="I105" s="124"/>
      <c r="J105" s="123"/>
      <c r="K105" s="126"/>
      <c r="L105" s="124"/>
      <c r="M105" s="124"/>
      <c r="N105" s="123"/>
      <c r="O105" s="126"/>
      <c r="P105" s="124"/>
      <c r="Q105" s="124"/>
      <c r="R105" s="123"/>
      <c r="S105" s="126"/>
      <c r="T105" s="124"/>
      <c r="U105" s="124"/>
      <c r="V105" s="123"/>
    </row>
    <row r="106" spans="1:22" ht="12.75">
      <c r="A106" s="121">
        <v>98</v>
      </c>
      <c r="B106" s="56" t="s">
        <v>233</v>
      </c>
      <c r="C106" s="29">
        <f t="shared" si="20"/>
        <v>0</v>
      </c>
      <c r="D106" s="124">
        <f t="shared" si="20"/>
        <v>0</v>
      </c>
      <c r="E106" s="124"/>
      <c r="F106" s="125"/>
      <c r="G106" s="126">
        <f t="shared" si="24"/>
        <v>0</v>
      </c>
      <c r="H106" s="124"/>
      <c r="I106" s="124"/>
      <c r="J106" s="123"/>
      <c r="K106" s="126"/>
      <c r="L106" s="124"/>
      <c r="M106" s="124"/>
      <c r="N106" s="123"/>
      <c r="O106" s="126"/>
      <c r="P106" s="124"/>
      <c r="Q106" s="124"/>
      <c r="R106" s="123"/>
      <c r="S106" s="126"/>
      <c r="T106" s="124"/>
      <c r="U106" s="124"/>
      <c r="V106" s="123"/>
    </row>
    <row r="107" spans="1:22" ht="12.75">
      <c r="A107" s="121">
        <v>99</v>
      </c>
      <c r="B107" s="56" t="s">
        <v>234</v>
      </c>
      <c r="C107" s="29">
        <f t="shared" si="20"/>
        <v>0</v>
      </c>
      <c r="D107" s="124">
        <f t="shared" si="20"/>
        <v>0</v>
      </c>
      <c r="E107" s="124"/>
      <c r="F107" s="125"/>
      <c r="G107" s="126">
        <f t="shared" si="24"/>
        <v>0</v>
      </c>
      <c r="H107" s="124"/>
      <c r="I107" s="124"/>
      <c r="J107" s="123"/>
      <c r="K107" s="126"/>
      <c r="L107" s="124"/>
      <c r="M107" s="124"/>
      <c r="N107" s="123"/>
      <c r="O107" s="126"/>
      <c r="P107" s="124"/>
      <c r="Q107" s="124"/>
      <c r="R107" s="123"/>
      <c r="S107" s="126"/>
      <c r="T107" s="124"/>
      <c r="U107" s="124"/>
      <c r="V107" s="123"/>
    </row>
    <row r="108" spans="1:22" ht="12.75">
      <c r="A108" s="121">
        <v>100</v>
      </c>
      <c r="B108" s="56" t="s">
        <v>235</v>
      </c>
      <c r="C108" s="29">
        <f t="shared" si="20"/>
        <v>0</v>
      </c>
      <c r="D108" s="124">
        <f t="shared" si="20"/>
        <v>0</v>
      </c>
      <c r="E108" s="124"/>
      <c r="F108" s="125"/>
      <c r="G108" s="126">
        <f t="shared" si="24"/>
        <v>0</v>
      </c>
      <c r="H108" s="124"/>
      <c r="I108" s="124"/>
      <c r="J108" s="123"/>
      <c r="K108" s="126"/>
      <c r="L108" s="124"/>
      <c r="M108" s="124"/>
      <c r="N108" s="123"/>
      <c r="O108" s="126"/>
      <c r="P108" s="124"/>
      <c r="Q108" s="124"/>
      <c r="R108" s="123"/>
      <c r="S108" s="126"/>
      <c r="T108" s="124"/>
      <c r="U108" s="124"/>
      <c r="V108" s="123"/>
    </row>
    <row r="109" spans="1:22" ht="12.75">
      <c r="A109" s="121">
        <v>101</v>
      </c>
      <c r="B109" s="56" t="s">
        <v>236</v>
      </c>
      <c r="C109" s="29">
        <f t="shared" si="20"/>
        <v>0</v>
      </c>
      <c r="D109" s="124">
        <f t="shared" si="20"/>
        <v>0</v>
      </c>
      <c r="E109" s="124"/>
      <c r="F109" s="125"/>
      <c r="G109" s="126">
        <f t="shared" si="24"/>
        <v>0</v>
      </c>
      <c r="H109" s="124"/>
      <c r="I109" s="124"/>
      <c r="J109" s="123"/>
      <c r="K109" s="126"/>
      <c r="L109" s="124"/>
      <c r="M109" s="124"/>
      <c r="N109" s="123"/>
      <c r="O109" s="126"/>
      <c r="P109" s="124"/>
      <c r="Q109" s="124"/>
      <c r="R109" s="123"/>
      <c r="S109" s="126"/>
      <c r="T109" s="124"/>
      <c r="U109" s="124"/>
      <c r="V109" s="123"/>
    </row>
    <row r="110" spans="1:22" ht="12.75">
      <c r="A110" s="121">
        <v>102</v>
      </c>
      <c r="B110" s="56" t="s">
        <v>237</v>
      </c>
      <c r="C110" s="29">
        <f t="shared" si="20"/>
        <v>0</v>
      </c>
      <c r="D110" s="124">
        <f t="shared" si="20"/>
        <v>0</v>
      </c>
      <c r="E110" s="124"/>
      <c r="F110" s="125"/>
      <c r="G110" s="126">
        <f t="shared" si="24"/>
        <v>0</v>
      </c>
      <c r="H110" s="124"/>
      <c r="I110" s="124"/>
      <c r="J110" s="123"/>
      <c r="K110" s="126"/>
      <c r="L110" s="124"/>
      <c r="M110" s="124"/>
      <c r="N110" s="123"/>
      <c r="O110" s="126"/>
      <c r="P110" s="124"/>
      <c r="Q110" s="124"/>
      <c r="R110" s="123"/>
      <c r="S110" s="126"/>
      <c r="T110" s="124"/>
      <c r="U110" s="124"/>
      <c r="V110" s="123"/>
    </row>
    <row r="111" spans="1:22" ht="12.75">
      <c r="A111" s="121">
        <v>103</v>
      </c>
      <c r="B111" s="35" t="s">
        <v>37</v>
      </c>
      <c r="C111" s="54">
        <f t="shared" si="20"/>
        <v>0</v>
      </c>
      <c r="D111" s="163">
        <f t="shared" si="20"/>
        <v>0</v>
      </c>
      <c r="E111" s="38">
        <f t="shared" si="20"/>
        <v>0</v>
      </c>
      <c r="F111" s="39">
        <f t="shared" si="20"/>
        <v>0</v>
      </c>
      <c r="G111" s="40">
        <f t="shared" si="24"/>
        <v>0</v>
      </c>
      <c r="H111" s="38"/>
      <c r="I111" s="38"/>
      <c r="J111" s="41"/>
      <c r="K111" s="126"/>
      <c r="L111" s="124"/>
      <c r="M111" s="124"/>
      <c r="N111" s="123"/>
      <c r="O111" s="126"/>
      <c r="P111" s="124"/>
      <c r="Q111" s="124"/>
      <c r="R111" s="123"/>
      <c r="S111" s="54">
        <f>T111+V111</f>
        <v>0</v>
      </c>
      <c r="T111" s="163"/>
      <c r="U111" s="38"/>
      <c r="V111" s="41"/>
    </row>
    <row r="112" spans="1:22" ht="12.75">
      <c r="A112" s="121">
        <v>104</v>
      </c>
      <c r="B112" s="56" t="s">
        <v>238</v>
      </c>
      <c r="C112" s="164">
        <f t="shared" si="20"/>
        <v>0</v>
      </c>
      <c r="D112" s="165">
        <f t="shared" si="20"/>
        <v>0</v>
      </c>
      <c r="E112" s="32"/>
      <c r="F112" s="43"/>
      <c r="G112" s="29">
        <f t="shared" si="24"/>
        <v>0</v>
      </c>
      <c r="H112" s="32"/>
      <c r="I112" s="38"/>
      <c r="J112" s="41"/>
      <c r="K112" s="126"/>
      <c r="L112" s="124"/>
      <c r="M112" s="124"/>
      <c r="N112" s="123"/>
      <c r="O112" s="126"/>
      <c r="P112" s="124"/>
      <c r="Q112" s="124"/>
      <c r="R112" s="123"/>
      <c r="S112" s="54"/>
      <c r="T112" s="163"/>
      <c r="U112" s="38"/>
      <c r="V112" s="41"/>
    </row>
    <row r="113" spans="1:22" ht="12.75">
      <c r="A113" s="121">
        <v>105</v>
      </c>
      <c r="B113" s="56" t="s">
        <v>239</v>
      </c>
      <c r="C113" s="164">
        <f t="shared" si="20"/>
        <v>0</v>
      </c>
      <c r="D113" s="165">
        <f t="shared" si="20"/>
        <v>0</v>
      </c>
      <c r="E113" s="32"/>
      <c r="F113" s="43"/>
      <c r="G113" s="29">
        <f t="shared" si="24"/>
        <v>0</v>
      </c>
      <c r="H113" s="32"/>
      <c r="I113" s="38"/>
      <c r="J113" s="41"/>
      <c r="K113" s="126"/>
      <c r="L113" s="124"/>
      <c r="M113" s="124"/>
      <c r="N113" s="123"/>
      <c r="O113" s="126"/>
      <c r="P113" s="124"/>
      <c r="Q113" s="124"/>
      <c r="R113" s="123"/>
      <c r="S113" s="54"/>
      <c r="T113" s="163"/>
      <c r="U113" s="38"/>
      <c r="V113" s="41"/>
    </row>
    <row r="114" spans="1:22" ht="12.75">
      <c r="A114" s="121">
        <v>106</v>
      </c>
      <c r="B114" s="35" t="s">
        <v>38</v>
      </c>
      <c r="C114" s="54">
        <f t="shared" si="20"/>
        <v>0</v>
      </c>
      <c r="D114" s="163">
        <f t="shared" si="20"/>
        <v>0</v>
      </c>
      <c r="E114" s="38">
        <f t="shared" si="20"/>
        <v>0</v>
      </c>
      <c r="F114" s="39">
        <f t="shared" si="20"/>
        <v>0</v>
      </c>
      <c r="G114" s="40">
        <f t="shared" si="24"/>
        <v>0</v>
      </c>
      <c r="H114" s="38"/>
      <c r="I114" s="38"/>
      <c r="J114" s="123"/>
      <c r="K114" s="126"/>
      <c r="L114" s="124"/>
      <c r="M114" s="124"/>
      <c r="N114" s="123"/>
      <c r="O114" s="126"/>
      <c r="P114" s="124"/>
      <c r="Q114" s="124"/>
      <c r="R114" s="123"/>
      <c r="S114" s="54">
        <f>T114+V114</f>
        <v>0</v>
      </c>
      <c r="T114" s="163"/>
      <c r="U114" s="38"/>
      <c r="V114" s="41"/>
    </row>
    <row r="115" spans="1:22" ht="12.75">
      <c r="A115" s="121">
        <v>107</v>
      </c>
      <c r="B115" s="166" t="s">
        <v>155</v>
      </c>
      <c r="C115" s="29">
        <f t="shared" si="20"/>
        <v>0</v>
      </c>
      <c r="D115" s="32">
        <f t="shared" si="20"/>
        <v>0</v>
      </c>
      <c r="E115" s="32"/>
      <c r="F115" s="43"/>
      <c r="G115" s="29">
        <f t="shared" si="24"/>
        <v>0</v>
      </c>
      <c r="H115" s="32"/>
      <c r="I115" s="38"/>
      <c r="J115" s="123"/>
      <c r="K115" s="126"/>
      <c r="L115" s="124"/>
      <c r="M115" s="124"/>
      <c r="N115" s="123"/>
      <c r="O115" s="126"/>
      <c r="P115" s="124"/>
      <c r="Q115" s="124"/>
      <c r="R115" s="123"/>
      <c r="S115" s="40"/>
      <c r="T115" s="38"/>
      <c r="U115" s="38"/>
      <c r="V115" s="41"/>
    </row>
    <row r="116" spans="1:22" ht="12.75">
      <c r="A116" s="121">
        <v>108</v>
      </c>
      <c r="B116" s="166" t="s">
        <v>156</v>
      </c>
      <c r="C116" s="29">
        <f t="shared" si="20"/>
        <v>0</v>
      </c>
      <c r="D116" s="32">
        <f t="shared" si="20"/>
        <v>0</v>
      </c>
      <c r="E116" s="32"/>
      <c r="F116" s="43"/>
      <c r="G116" s="29">
        <f t="shared" si="24"/>
        <v>0</v>
      </c>
      <c r="H116" s="32"/>
      <c r="I116" s="38"/>
      <c r="J116" s="123"/>
      <c r="K116" s="126"/>
      <c r="L116" s="124"/>
      <c r="M116" s="124"/>
      <c r="N116" s="123"/>
      <c r="O116" s="126"/>
      <c r="P116" s="124"/>
      <c r="Q116" s="124"/>
      <c r="R116" s="123"/>
      <c r="S116" s="40"/>
      <c r="T116" s="38"/>
      <c r="U116" s="38"/>
      <c r="V116" s="41"/>
    </row>
    <row r="117" spans="1:22" ht="12.75">
      <c r="A117" s="121">
        <v>109</v>
      </c>
      <c r="B117" s="35" t="s">
        <v>240</v>
      </c>
      <c r="C117" s="40">
        <f t="shared" si="20"/>
        <v>0</v>
      </c>
      <c r="D117" s="38">
        <f t="shared" si="20"/>
        <v>0</v>
      </c>
      <c r="E117" s="38">
        <f t="shared" si="20"/>
        <v>0</v>
      </c>
      <c r="F117" s="39"/>
      <c r="G117" s="40">
        <f t="shared" si="24"/>
        <v>0</v>
      </c>
      <c r="H117" s="38"/>
      <c r="I117" s="38"/>
      <c r="J117" s="41"/>
      <c r="K117" s="126"/>
      <c r="L117" s="124"/>
      <c r="M117" s="124"/>
      <c r="N117" s="123"/>
      <c r="O117" s="126"/>
      <c r="P117" s="124"/>
      <c r="Q117" s="124"/>
      <c r="R117" s="123"/>
      <c r="S117" s="40">
        <f>T117+V117</f>
        <v>0</v>
      </c>
      <c r="T117" s="38"/>
      <c r="U117" s="38"/>
      <c r="V117" s="41"/>
    </row>
    <row r="118" spans="1:22" ht="12.75">
      <c r="A118" s="121">
        <v>110</v>
      </c>
      <c r="B118" s="73" t="s">
        <v>39</v>
      </c>
      <c r="C118" s="40">
        <f t="shared" si="20"/>
        <v>0</v>
      </c>
      <c r="D118" s="38">
        <f t="shared" si="20"/>
        <v>0</v>
      </c>
      <c r="E118" s="38"/>
      <c r="F118" s="39"/>
      <c r="G118" s="40">
        <f t="shared" si="24"/>
        <v>0</v>
      </c>
      <c r="H118" s="38"/>
      <c r="I118" s="38"/>
      <c r="J118" s="41"/>
      <c r="K118" s="126"/>
      <c r="L118" s="124"/>
      <c r="M118" s="124"/>
      <c r="N118" s="123"/>
      <c r="O118" s="126"/>
      <c r="P118" s="124"/>
      <c r="Q118" s="124"/>
      <c r="R118" s="123"/>
      <c r="S118" s="40"/>
      <c r="T118" s="38"/>
      <c r="U118" s="38"/>
      <c r="V118" s="41"/>
    </row>
    <row r="119" spans="1:22" ht="12.75">
      <c r="A119" s="121">
        <v>111</v>
      </c>
      <c r="B119" s="167" t="s">
        <v>241</v>
      </c>
      <c r="C119" s="29">
        <f t="shared" si="20"/>
        <v>0</v>
      </c>
      <c r="D119" s="32">
        <f t="shared" si="20"/>
        <v>0</v>
      </c>
      <c r="E119" s="32"/>
      <c r="F119" s="43"/>
      <c r="G119" s="29">
        <f t="shared" si="24"/>
        <v>0</v>
      </c>
      <c r="H119" s="32"/>
      <c r="I119" s="38"/>
      <c r="J119" s="41"/>
      <c r="K119" s="126"/>
      <c r="L119" s="124"/>
      <c r="M119" s="124"/>
      <c r="N119" s="123"/>
      <c r="O119" s="126"/>
      <c r="P119" s="124"/>
      <c r="Q119" s="124"/>
      <c r="R119" s="123"/>
      <c r="S119" s="40"/>
      <c r="T119" s="38"/>
      <c r="U119" s="38"/>
      <c r="V119" s="41"/>
    </row>
    <row r="120" spans="1:22" ht="12.75">
      <c r="A120" s="121">
        <v>112</v>
      </c>
      <c r="B120" s="167" t="s">
        <v>159</v>
      </c>
      <c r="C120" s="29">
        <f t="shared" si="20"/>
        <v>0</v>
      </c>
      <c r="D120" s="32">
        <f t="shared" si="20"/>
        <v>0</v>
      </c>
      <c r="E120" s="32"/>
      <c r="F120" s="43"/>
      <c r="G120" s="29">
        <f t="shared" si="24"/>
        <v>0</v>
      </c>
      <c r="H120" s="32"/>
      <c r="I120" s="38"/>
      <c r="J120" s="41"/>
      <c r="K120" s="126"/>
      <c r="L120" s="124"/>
      <c r="M120" s="124"/>
      <c r="N120" s="123"/>
      <c r="O120" s="126"/>
      <c r="P120" s="124"/>
      <c r="Q120" s="124"/>
      <c r="R120" s="123"/>
      <c r="S120" s="40"/>
      <c r="T120" s="38"/>
      <c r="U120" s="38"/>
      <c r="V120" s="41"/>
    </row>
    <row r="121" spans="1:22" ht="25.5">
      <c r="A121" s="121">
        <v>113</v>
      </c>
      <c r="B121" s="168" t="s">
        <v>160</v>
      </c>
      <c r="C121" s="29">
        <f t="shared" si="20"/>
        <v>0</v>
      </c>
      <c r="D121" s="32">
        <f t="shared" si="20"/>
        <v>0</v>
      </c>
      <c r="E121" s="32"/>
      <c r="F121" s="43"/>
      <c r="G121" s="29">
        <f t="shared" si="24"/>
        <v>0</v>
      </c>
      <c r="H121" s="32"/>
      <c r="I121" s="38"/>
      <c r="J121" s="41"/>
      <c r="K121" s="126"/>
      <c r="L121" s="124"/>
      <c r="M121" s="124"/>
      <c r="N121" s="123"/>
      <c r="O121" s="126"/>
      <c r="P121" s="124"/>
      <c r="Q121" s="124"/>
      <c r="R121" s="123"/>
      <c r="S121" s="40"/>
      <c r="T121" s="38"/>
      <c r="U121" s="38"/>
      <c r="V121" s="41"/>
    </row>
    <row r="122" spans="1:22" ht="25.5">
      <c r="A122" s="121">
        <v>114</v>
      </c>
      <c r="B122" s="50" t="s">
        <v>79</v>
      </c>
      <c r="C122" s="40">
        <f t="shared" si="20"/>
        <v>0</v>
      </c>
      <c r="D122" s="38">
        <f t="shared" si="20"/>
        <v>0</v>
      </c>
      <c r="E122" s="38">
        <f t="shared" si="20"/>
        <v>0</v>
      </c>
      <c r="F122" s="39"/>
      <c r="G122" s="40">
        <f t="shared" si="24"/>
        <v>0</v>
      </c>
      <c r="H122" s="38"/>
      <c r="I122" s="38"/>
      <c r="J122" s="41"/>
      <c r="K122" s="126"/>
      <c r="L122" s="124"/>
      <c r="M122" s="124"/>
      <c r="N122" s="123"/>
      <c r="O122" s="126"/>
      <c r="P122" s="124"/>
      <c r="Q122" s="124"/>
      <c r="R122" s="123"/>
      <c r="S122" s="40">
        <f>T122+V122</f>
        <v>0</v>
      </c>
      <c r="T122" s="38"/>
      <c r="U122" s="38"/>
      <c r="V122" s="41"/>
    </row>
    <row r="123" spans="1:22" ht="12.75">
      <c r="A123" s="121">
        <v>115</v>
      </c>
      <c r="B123" s="35" t="s">
        <v>42</v>
      </c>
      <c r="C123" s="40">
        <f t="shared" si="20"/>
        <v>0</v>
      </c>
      <c r="D123" s="38">
        <f t="shared" si="20"/>
        <v>0</v>
      </c>
      <c r="E123" s="38">
        <f t="shared" si="20"/>
        <v>0</v>
      </c>
      <c r="F123" s="39"/>
      <c r="G123" s="40">
        <f t="shared" si="24"/>
        <v>0</v>
      </c>
      <c r="H123" s="38"/>
      <c r="I123" s="38"/>
      <c r="J123" s="45"/>
      <c r="K123" s="126"/>
      <c r="L123" s="124"/>
      <c r="M123" s="124"/>
      <c r="N123" s="123"/>
      <c r="O123" s="126"/>
      <c r="P123" s="124"/>
      <c r="Q123" s="124"/>
      <c r="R123" s="123"/>
      <c r="S123" s="40">
        <f aca="true" t="shared" si="25" ref="S123:S131">T123+V123</f>
        <v>0</v>
      </c>
      <c r="T123" s="38"/>
      <c r="U123" s="32"/>
      <c r="V123" s="45"/>
    </row>
    <row r="124" spans="1:22" ht="12.75">
      <c r="A124" s="121">
        <f t="shared" si="19"/>
        <v>116</v>
      </c>
      <c r="B124" s="35" t="s">
        <v>43</v>
      </c>
      <c r="C124" s="40">
        <f t="shared" si="20"/>
        <v>0</v>
      </c>
      <c r="D124" s="38">
        <f t="shared" si="20"/>
        <v>0</v>
      </c>
      <c r="E124" s="38">
        <f t="shared" si="20"/>
        <v>0</v>
      </c>
      <c r="F124" s="39"/>
      <c r="G124" s="40">
        <f t="shared" si="24"/>
        <v>0</v>
      </c>
      <c r="H124" s="38"/>
      <c r="I124" s="38"/>
      <c r="J124" s="45"/>
      <c r="K124" s="126"/>
      <c r="L124" s="124"/>
      <c r="M124" s="124"/>
      <c r="N124" s="123"/>
      <c r="O124" s="126"/>
      <c r="P124" s="124"/>
      <c r="Q124" s="124"/>
      <c r="R124" s="123"/>
      <c r="S124" s="40">
        <f t="shared" si="25"/>
        <v>0</v>
      </c>
      <c r="T124" s="38"/>
      <c r="U124" s="32"/>
      <c r="V124" s="45"/>
    </row>
    <row r="125" spans="1:22" ht="12.75">
      <c r="A125" s="121">
        <f t="shared" si="19"/>
        <v>117</v>
      </c>
      <c r="B125" s="35" t="s">
        <v>44</v>
      </c>
      <c r="C125" s="40">
        <f t="shared" si="20"/>
        <v>0</v>
      </c>
      <c r="D125" s="38">
        <f t="shared" si="20"/>
        <v>0</v>
      </c>
      <c r="E125" s="38">
        <f t="shared" si="20"/>
        <v>0</v>
      </c>
      <c r="F125" s="39"/>
      <c r="G125" s="40">
        <f t="shared" si="24"/>
        <v>0</v>
      </c>
      <c r="H125" s="38"/>
      <c r="I125" s="38"/>
      <c r="J125" s="41"/>
      <c r="K125" s="126"/>
      <c r="L125" s="124"/>
      <c r="M125" s="124"/>
      <c r="N125" s="123"/>
      <c r="O125" s="126"/>
      <c r="P125" s="124"/>
      <c r="Q125" s="124"/>
      <c r="R125" s="123"/>
      <c r="S125" s="40">
        <f t="shared" si="25"/>
        <v>0</v>
      </c>
      <c r="T125" s="38"/>
      <c r="U125" s="32"/>
      <c r="V125" s="45"/>
    </row>
    <row r="126" spans="1:22" ht="12.75">
      <c r="A126" s="121">
        <f t="shared" si="19"/>
        <v>118</v>
      </c>
      <c r="B126" s="35" t="s">
        <v>45</v>
      </c>
      <c r="C126" s="40">
        <f t="shared" si="20"/>
        <v>0</v>
      </c>
      <c r="D126" s="38">
        <f t="shared" si="20"/>
        <v>0</v>
      </c>
      <c r="E126" s="38">
        <f t="shared" si="20"/>
        <v>0</v>
      </c>
      <c r="F126" s="39"/>
      <c r="G126" s="40">
        <f t="shared" si="24"/>
        <v>0</v>
      </c>
      <c r="H126" s="38"/>
      <c r="I126" s="38"/>
      <c r="J126" s="45"/>
      <c r="K126" s="126"/>
      <c r="L126" s="124"/>
      <c r="M126" s="124"/>
      <c r="N126" s="123"/>
      <c r="O126" s="126"/>
      <c r="P126" s="124"/>
      <c r="Q126" s="124"/>
      <c r="R126" s="123"/>
      <c r="S126" s="40"/>
      <c r="T126" s="38"/>
      <c r="U126" s="32"/>
      <c r="V126" s="45"/>
    </row>
    <row r="127" spans="1:22" ht="12.75">
      <c r="A127" s="121">
        <f t="shared" si="19"/>
        <v>119</v>
      </c>
      <c r="B127" s="35" t="s">
        <v>46</v>
      </c>
      <c r="C127" s="40">
        <f t="shared" si="20"/>
        <v>0</v>
      </c>
      <c r="D127" s="38">
        <f t="shared" si="20"/>
        <v>0</v>
      </c>
      <c r="E127" s="38">
        <f t="shared" si="20"/>
        <v>0</v>
      </c>
      <c r="F127" s="39"/>
      <c r="G127" s="40">
        <f t="shared" si="24"/>
        <v>0</v>
      </c>
      <c r="H127" s="38"/>
      <c r="I127" s="38"/>
      <c r="J127" s="45"/>
      <c r="K127" s="126"/>
      <c r="L127" s="124"/>
      <c r="M127" s="124"/>
      <c r="N127" s="123"/>
      <c r="O127" s="126"/>
      <c r="P127" s="124"/>
      <c r="Q127" s="124"/>
      <c r="R127" s="123"/>
      <c r="S127" s="40">
        <f t="shared" si="25"/>
        <v>0</v>
      </c>
      <c r="T127" s="38"/>
      <c r="U127" s="38"/>
      <c r="V127" s="45"/>
    </row>
    <row r="128" spans="1:22" ht="12.75">
      <c r="A128" s="121">
        <f t="shared" si="19"/>
        <v>120</v>
      </c>
      <c r="B128" s="35" t="s">
        <v>47</v>
      </c>
      <c r="C128" s="40">
        <f t="shared" si="20"/>
        <v>0</v>
      </c>
      <c r="D128" s="38">
        <f t="shared" si="20"/>
        <v>0</v>
      </c>
      <c r="E128" s="38">
        <f t="shared" si="20"/>
        <v>0</v>
      </c>
      <c r="F128" s="39"/>
      <c r="G128" s="40">
        <f t="shared" si="24"/>
        <v>0</v>
      </c>
      <c r="H128" s="38"/>
      <c r="I128" s="38"/>
      <c r="J128" s="45"/>
      <c r="K128" s="126"/>
      <c r="L128" s="124"/>
      <c r="M128" s="124"/>
      <c r="N128" s="123"/>
      <c r="O128" s="126"/>
      <c r="P128" s="124"/>
      <c r="Q128" s="124"/>
      <c r="R128" s="123"/>
      <c r="S128" s="40">
        <f t="shared" si="25"/>
        <v>0</v>
      </c>
      <c r="T128" s="38"/>
      <c r="U128" s="32"/>
      <c r="V128" s="45"/>
    </row>
    <row r="129" spans="1:22" ht="12.75">
      <c r="A129" s="121">
        <f t="shared" si="19"/>
        <v>121</v>
      </c>
      <c r="B129" s="35" t="s">
        <v>48</v>
      </c>
      <c r="C129" s="40">
        <f t="shared" si="20"/>
        <v>0</v>
      </c>
      <c r="D129" s="38">
        <f t="shared" si="20"/>
        <v>0</v>
      </c>
      <c r="E129" s="38">
        <f t="shared" si="20"/>
        <v>0</v>
      </c>
      <c r="F129" s="39"/>
      <c r="G129" s="40">
        <f t="shared" si="24"/>
        <v>0</v>
      </c>
      <c r="H129" s="38"/>
      <c r="I129" s="38"/>
      <c r="J129" s="45"/>
      <c r="K129" s="126"/>
      <c r="L129" s="124"/>
      <c r="M129" s="124"/>
      <c r="N129" s="123"/>
      <c r="O129" s="126"/>
      <c r="P129" s="124"/>
      <c r="Q129" s="124"/>
      <c r="R129" s="123"/>
      <c r="S129" s="40"/>
      <c r="T129" s="38"/>
      <c r="U129" s="32"/>
      <c r="V129" s="45"/>
    </row>
    <row r="130" spans="1:22" ht="12.75">
      <c r="A130" s="121">
        <f t="shared" si="19"/>
        <v>122</v>
      </c>
      <c r="B130" s="35" t="s">
        <v>49</v>
      </c>
      <c r="C130" s="40">
        <f t="shared" si="20"/>
        <v>0</v>
      </c>
      <c r="D130" s="38">
        <f t="shared" si="20"/>
        <v>0</v>
      </c>
      <c r="E130" s="38"/>
      <c r="F130" s="39"/>
      <c r="G130" s="40">
        <f t="shared" si="24"/>
        <v>0</v>
      </c>
      <c r="H130" s="38"/>
      <c r="I130" s="38"/>
      <c r="J130" s="45"/>
      <c r="K130" s="126"/>
      <c r="L130" s="124"/>
      <c r="M130" s="124"/>
      <c r="N130" s="123"/>
      <c r="O130" s="126"/>
      <c r="P130" s="124"/>
      <c r="Q130" s="124"/>
      <c r="R130" s="123"/>
      <c r="S130" s="40"/>
      <c r="T130" s="38"/>
      <c r="U130" s="32"/>
      <c r="V130" s="45"/>
    </row>
    <row r="131" spans="1:22" ht="12.75">
      <c r="A131" s="121">
        <f t="shared" si="19"/>
        <v>123</v>
      </c>
      <c r="B131" s="35" t="s">
        <v>73</v>
      </c>
      <c r="C131" s="40">
        <f t="shared" si="20"/>
        <v>0</v>
      </c>
      <c r="D131" s="38">
        <f t="shared" si="20"/>
        <v>0</v>
      </c>
      <c r="E131" s="38">
        <f t="shared" si="20"/>
        <v>0</v>
      </c>
      <c r="F131" s="39"/>
      <c r="G131" s="40">
        <f t="shared" si="24"/>
        <v>0</v>
      </c>
      <c r="H131" s="38"/>
      <c r="I131" s="38"/>
      <c r="J131" s="45"/>
      <c r="K131" s="126"/>
      <c r="L131" s="124"/>
      <c r="M131" s="124"/>
      <c r="N131" s="123"/>
      <c r="O131" s="126"/>
      <c r="P131" s="124"/>
      <c r="Q131" s="124"/>
      <c r="R131" s="123"/>
      <c r="S131" s="40">
        <f t="shared" si="25"/>
        <v>0</v>
      </c>
      <c r="T131" s="38"/>
      <c r="U131" s="32"/>
      <c r="V131" s="45"/>
    </row>
    <row r="132" spans="1:22" ht="12.75">
      <c r="A132" s="121">
        <f t="shared" si="19"/>
        <v>124</v>
      </c>
      <c r="B132" s="35" t="s">
        <v>51</v>
      </c>
      <c r="C132" s="40">
        <f t="shared" si="20"/>
        <v>0</v>
      </c>
      <c r="D132" s="38">
        <f t="shared" si="20"/>
        <v>0</v>
      </c>
      <c r="E132" s="38"/>
      <c r="F132" s="39"/>
      <c r="G132" s="51">
        <f t="shared" si="24"/>
        <v>0</v>
      </c>
      <c r="H132" s="38"/>
      <c r="I132" s="38"/>
      <c r="J132" s="45"/>
      <c r="K132" s="126"/>
      <c r="L132" s="124"/>
      <c r="M132" s="124"/>
      <c r="N132" s="123"/>
      <c r="O132" s="126"/>
      <c r="P132" s="124"/>
      <c r="Q132" s="124"/>
      <c r="R132" s="123"/>
      <c r="S132" s="40"/>
      <c r="T132" s="32"/>
      <c r="U132" s="32"/>
      <c r="V132" s="45"/>
    </row>
    <row r="133" spans="1:22" ht="12.75">
      <c r="A133" s="121">
        <f t="shared" si="19"/>
        <v>125</v>
      </c>
      <c r="B133" s="35" t="s">
        <v>242</v>
      </c>
      <c r="C133" s="40">
        <f t="shared" si="20"/>
        <v>0</v>
      </c>
      <c r="D133" s="38">
        <f t="shared" si="20"/>
        <v>0</v>
      </c>
      <c r="E133" s="38"/>
      <c r="F133" s="39"/>
      <c r="G133" s="51">
        <f>G134</f>
        <v>0</v>
      </c>
      <c r="H133" s="38"/>
      <c r="I133" s="38"/>
      <c r="J133" s="128"/>
      <c r="K133" s="133"/>
      <c r="L133" s="124"/>
      <c r="M133" s="124"/>
      <c r="N133" s="128"/>
      <c r="O133" s="133"/>
      <c r="P133" s="124"/>
      <c r="Q133" s="124"/>
      <c r="R133" s="128"/>
      <c r="S133" s="133"/>
      <c r="T133" s="124"/>
      <c r="U133" s="124"/>
      <c r="V133" s="128"/>
    </row>
    <row r="134" spans="1:22" ht="12.75">
      <c r="A134" s="121">
        <f t="shared" si="19"/>
        <v>126</v>
      </c>
      <c r="B134" s="35" t="s">
        <v>243</v>
      </c>
      <c r="C134" s="29">
        <f t="shared" si="20"/>
        <v>0</v>
      </c>
      <c r="D134" s="32">
        <f t="shared" si="20"/>
        <v>0</v>
      </c>
      <c r="E134" s="38"/>
      <c r="F134" s="39"/>
      <c r="G134" s="133">
        <f t="shared" si="24"/>
        <v>0</v>
      </c>
      <c r="H134" s="32"/>
      <c r="I134" s="38"/>
      <c r="J134" s="128"/>
      <c r="K134" s="133"/>
      <c r="L134" s="124"/>
      <c r="M134" s="124"/>
      <c r="N134" s="128"/>
      <c r="O134" s="133"/>
      <c r="P134" s="124"/>
      <c r="Q134" s="124"/>
      <c r="R134" s="128"/>
      <c r="S134" s="51"/>
      <c r="T134" s="38"/>
      <c r="U134" s="38"/>
      <c r="V134" s="52"/>
    </row>
    <row r="135" spans="1:22" ht="12.75">
      <c r="A135" s="121">
        <f t="shared" si="19"/>
        <v>127</v>
      </c>
      <c r="B135" s="35" t="s">
        <v>207</v>
      </c>
      <c r="C135" s="40">
        <f t="shared" si="20"/>
        <v>0</v>
      </c>
      <c r="D135" s="38">
        <f t="shared" si="20"/>
        <v>0</v>
      </c>
      <c r="E135" s="38"/>
      <c r="F135" s="39"/>
      <c r="G135" s="51">
        <f>G136+G137</f>
        <v>0</v>
      </c>
      <c r="H135" s="38"/>
      <c r="I135" s="124"/>
      <c r="J135" s="128"/>
      <c r="K135" s="133"/>
      <c r="L135" s="124"/>
      <c r="M135" s="124"/>
      <c r="N135" s="128"/>
      <c r="O135" s="133"/>
      <c r="P135" s="124"/>
      <c r="Q135" s="124"/>
      <c r="R135" s="128"/>
      <c r="S135" s="133"/>
      <c r="T135" s="124"/>
      <c r="U135" s="124"/>
      <c r="V135" s="128"/>
    </row>
    <row r="136" spans="1:22" ht="12.75">
      <c r="A136" s="121">
        <f t="shared" si="19"/>
        <v>128</v>
      </c>
      <c r="B136" s="56" t="s">
        <v>244</v>
      </c>
      <c r="C136" s="29">
        <f t="shared" si="20"/>
        <v>0</v>
      </c>
      <c r="D136" s="32">
        <f t="shared" si="20"/>
        <v>0</v>
      </c>
      <c r="E136" s="38"/>
      <c r="F136" s="39"/>
      <c r="G136" s="126">
        <f t="shared" si="24"/>
        <v>0</v>
      </c>
      <c r="H136" s="32"/>
      <c r="I136" s="38"/>
      <c r="J136" s="123"/>
      <c r="K136" s="126"/>
      <c r="L136" s="124"/>
      <c r="M136" s="124"/>
      <c r="N136" s="123"/>
      <c r="O136" s="126"/>
      <c r="P136" s="124"/>
      <c r="Q136" s="124"/>
      <c r="R136" s="123"/>
      <c r="S136" s="40"/>
      <c r="T136" s="38"/>
      <c r="U136" s="38"/>
      <c r="V136" s="41"/>
    </row>
    <row r="137" spans="1:22" ht="12.75">
      <c r="A137" s="121">
        <f t="shared" si="19"/>
        <v>129</v>
      </c>
      <c r="B137" s="169" t="s">
        <v>245</v>
      </c>
      <c r="C137" s="29">
        <f t="shared" si="20"/>
        <v>0</v>
      </c>
      <c r="D137" s="32">
        <f t="shared" si="20"/>
        <v>0</v>
      </c>
      <c r="E137" s="38"/>
      <c r="F137" s="39"/>
      <c r="G137" s="126">
        <f t="shared" si="24"/>
        <v>0</v>
      </c>
      <c r="H137" s="32"/>
      <c r="I137" s="38"/>
      <c r="J137" s="123"/>
      <c r="K137" s="126"/>
      <c r="L137" s="124"/>
      <c r="M137" s="124"/>
      <c r="N137" s="123"/>
      <c r="O137" s="126"/>
      <c r="P137" s="124"/>
      <c r="Q137" s="124"/>
      <c r="R137" s="123"/>
      <c r="S137" s="40"/>
      <c r="T137" s="38"/>
      <c r="U137" s="38"/>
      <c r="V137" s="41"/>
    </row>
    <row r="138" spans="1:22" ht="12.75">
      <c r="A138" s="121">
        <v>130</v>
      </c>
      <c r="B138" s="35" t="s">
        <v>180</v>
      </c>
      <c r="C138" s="40">
        <f>G138+K138+O138+S138</f>
        <v>37.467</v>
      </c>
      <c r="D138" s="38">
        <f>H138+L138+P138+T138</f>
        <v>37.467</v>
      </c>
      <c r="E138" s="38">
        <f t="shared" si="20"/>
        <v>18.872</v>
      </c>
      <c r="F138" s="39"/>
      <c r="G138" s="40">
        <f>+H138</f>
        <v>33.467</v>
      </c>
      <c r="H138" s="38">
        <v>33.467</v>
      </c>
      <c r="I138" s="38">
        <v>18.872</v>
      </c>
      <c r="J138" s="123"/>
      <c r="K138" s="126"/>
      <c r="L138" s="124"/>
      <c r="M138" s="124"/>
      <c r="N138" s="123"/>
      <c r="O138" s="126"/>
      <c r="P138" s="124"/>
      <c r="Q138" s="124"/>
      <c r="R138" s="123"/>
      <c r="S138" s="40">
        <f>T138+V138</f>
        <v>4</v>
      </c>
      <c r="T138" s="38">
        <v>4</v>
      </c>
      <c r="U138" s="38"/>
      <c r="V138" s="41"/>
    </row>
    <row r="139" spans="1:22" ht="13.5" thickBot="1">
      <c r="A139" s="150">
        <v>131</v>
      </c>
      <c r="B139" s="58" t="s">
        <v>224</v>
      </c>
      <c r="C139" s="62">
        <f>G139+K139+O139+S139</f>
        <v>27.848</v>
      </c>
      <c r="D139" s="60">
        <f>H139+L139+P139+T139</f>
        <v>27.848</v>
      </c>
      <c r="E139" s="60">
        <f>I139+M139+Q139+U139</f>
        <v>19.054</v>
      </c>
      <c r="F139" s="61"/>
      <c r="G139" s="77">
        <f>+H139</f>
        <v>27.448</v>
      </c>
      <c r="H139" s="76">
        <v>27.448</v>
      </c>
      <c r="I139" s="76">
        <v>19.054</v>
      </c>
      <c r="J139" s="153"/>
      <c r="K139" s="170"/>
      <c r="L139" s="171"/>
      <c r="M139" s="171"/>
      <c r="N139" s="172"/>
      <c r="O139" s="170"/>
      <c r="P139" s="171"/>
      <c r="Q139" s="171"/>
      <c r="R139" s="172"/>
      <c r="S139" s="40">
        <f>T139+V139</f>
        <v>0.4</v>
      </c>
      <c r="T139" s="60">
        <v>0.4</v>
      </c>
      <c r="U139" s="60"/>
      <c r="V139" s="63"/>
    </row>
    <row r="140" spans="1:22" ht="45.75" thickBot="1">
      <c r="A140" s="101">
        <v>132</v>
      </c>
      <c r="B140" s="173" t="s">
        <v>246</v>
      </c>
      <c r="C140" s="103">
        <f t="shared" si="20"/>
        <v>0</v>
      </c>
      <c r="D140" s="89">
        <f t="shared" si="20"/>
        <v>0</v>
      </c>
      <c r="E140" s="89">
        <f t="shared" si="20"/>
        <v>0</v>
      </c>
      <c r="F140" s="93">
        <f t="shared" si="20"/>
        <v>0</v>
      </c>
      <c r="G140" s="103">
        <f>G141+SUM(G157:G168)+G170+G173</f>
        <v>0</v>
      </c>
      <c r="H140" s="92">
        <f>H141+SUM(H157:H168)+H170+H173</f>
        <v>0</v>
      </c>
      <c r="I140" s="89">
        <f>I141+SUM(I157:I168)+I170+I173</f>
        <v>0</v>
      </c>
      <c r="J140" s="95">
        <f>J141+SUM(J157:J168)+J170+J173</f>
        <v>0</v>
      </c>
      <c r="K140" s="104">
        <f>K141+SUM(K158:K168)+K173</f>
        <v>0</v>
      </c>
      <c r="L140" s="89">
        <f>L141+SUM(L158:L168)+L173</f>
        <v>0</v>
      </c>
      <c r="M140" s="89">
        <f>M141+SUM(M157:M168)+M170+M173</f>
        <v>0</v>
      </c>
      <c r="N140" s="95"/>
      <c r="O140" s="103"/>
      <c r="P140" s="89"/>
      <c r="Q140" s="89"/>
      <c r="R140" s="95"/>
      <c r="S140" s="103">
        <f>S141+SUM(S157:S168)+S170+S173</f>
        <v>0</v>
      </c>
      <c r="T140" s="89">
        <f>T157+T173</f>
        <v>0</v>
      </c>
      <c r="U140" s="89">
        <f>U157+U173</f>
        <v>0</v>
      </c>
      <c r="V140" s="95"/>
    </row>
    <row r="141" spans="1:22" ht="12.75">
      <c r="A141" s="106">
        <f t="shared" si="19"/>
        <v>133</v>
      </c>
      <c r="B141" s="120" t="s">
        <v>192</v>
      </c>
      <c r="C141" s="115">
        <f t="shared" si="20"/>
        <v>0</v>
      </c>
      <c r="D141" s="113">
        <f t="shared" si="20"/>
        <v>0</v>
      </c>
      <c r="E141" s="113"/>
      <c r="F141" s="116">
        <f t="shared" si="20"/>
        <v>0</v>
      </c>
      <c r="G141" s="113">
        <f>SUM(G142:G156)</f>
        <v>0</v>
      </c>
      <c r="H141" s="113">
        <f>SUM(H142:H156)</f>
        <v>0</v>
      </c>
      <c r="I141" s="113"/>
      <c r="J141" s="117">
        <f>SUM(J142:J156)</f>
        <v>0</v>
      </c>
      <c r="K141" s="118">
        <f>SUM(K142:K153)+K154</f>
        <v>0</v>
      </c>
      <c r="L141" s="113">
        <f>SUM(L142:L153)</f>
        <v>0</v>
      </c>
      <c r="M141" s="113">
        <f>SUM(M142:M153)</f>
        <v>0</v>
      </c>
      <c r="N141" s="143"/>
      <c r="O141" s="162"/>
      <c r="P141" s="147"/>
      <c r="Q141" s="147"/>
      <c r="R141" s="143"/>
      <c r="S141" s="162"/>
      <c r="T141" s="147"/>
      <c r="U141" s="147"/>
      <c r="V141" s="143"/>
    </row>
    <row r="142" spans="1:22" ht="12.75">
      <c r="A142" s="121">
        <f t="shared" si="19"/>
        <v>134</v>
      </c>
      <c r="B142" s="56" t="s">
        <v>247</v>
      </c>
      <c r="C142" s="29">
        <f t="shared" si="20"/>
        <v>0</v>
      </c>
      <c r="D142" s="124">
        <f t="shared" si="20"/>
        <v>0</v>
      </c>
      <c r="E142" s="38"/>
      <c r="F142" s="41"/>
      <c r="G142" s="130">
        <f t="shared" si="24"/>
        <v>0</v>
      </c>
      <c r="H142" s="124"/>
      <c r="I142" s="124"/>
      <c r="J142" s="125"/>
      <c r="K142" s="126"/>
      <c r="L142" s="124"/>
      <c r="M142" s="124"/>
      <c r="N142" s="123"/>
      <c r="O142" s="126"/>
      <c r="P142" s="124"/>
      <c r="Q142" s="124"/>
      <c r="R142" s="123"/>
      <c r="S142" s="126"/>
      <c r="T142" s="124"/>
      <c r="U142" s="124"/>
      <c r="V142" s="123"/>
    </row>
    <row r="143" spans="1:22" ht="12.75">
      <c r="A143" s="121">
        <f>+A142+1</f>
        <v>135</v>
      </c>
      <c r="B143" s="56" t="s">
        <v>248</v>
      </c>
      <c r="C143" s="29">
        <f t="shared" si="20"/>
        <v>0</v>
      </c>
      <c r="D143" s="124">
        <f t="shared" si="20"/>
        <v>0</v>
      </c>
      <c r="E143" s="38"/>
      <c r="F143" s="41"/>
      <c r="G143" s="130">
        <f t="shared" si="24"/>
        <v>0</v>
      </c>
      <c r="H143" s="124"/>
      <c r="I143" s="124"/>
      <c r="J143" s="125"/>
      <c r="K143" s="126"/>
      <c r="L143" s="124"/>
      <c r="M143" s="124"/>
      <c r="N143" s="123"/>
      <c r="O143" s="126"/>
      <c r="P143" s="124"/>
      <c r="Q143" s="124"/>
      <c r="R143" s="123"/>
      <c r="S143" s="126"/>
      <c r="T143" s="124"/>
      <c r="U143" s="124"/>
      <c r="V143" s="123"/>
    </row>
    <row r="144" spans="1:22" ht="12.75">
      <c r="A144" s="121">
        <f>+A143+1</f>
        <v>136</v>
      </c>
      <c r="B144" s="56" t="s">
        <v>249</v>
      </c>
      <c r="C144" s="29">
        <f t="shared" si="20"/>
        <v>0</v>
      </c>
      <c r="D144" s="124">
        <f t="shared" si="20"/>
        <v>0</v>
      </c>
      <c r="E144" s="38"/>
      <c r="F144" s="41"/>
      <c r="G144" s="130">
        <f t="shared" si="24"/>
        <v>0</v>
      </c>
      <c r="H144" s="124"/>
      <c r="I144" s="124"/>
      <c r="J144" s="125"/>
      <c r="K144" s="126"/>
      <c r="L144" s="124"/>
      <c r="M144" s="124"/>
      <c r="N144" s="123"/>
      <c r="O144" s="126"/>
      <c r="P144" s="124"/>
      <c r="Q144" s="124"/>
      <c r="R144" s="123"/>
      <c r="S144" s="126"/>
      <c r="T144" s="124"/>
      <c r="U144" s="124"/>
      <c r="V144" s="123"/>
    </row>
    <row r="145" spans="1:22" ht="12.75">
      <c r="A145" s="121">
        <v>137</v>
      </c>
      <c r="B145" s="56" t="s">
        <v>250</v>
      </c>
      <c r="C145" s="29">
        <f t="shared" si="20"/>
        <v>0</v>
      </c>
      <c r="D145" s="124">
        <f t="shared" si="20"/>
        <v>0</v>
      </c>
      <c r="E145" s="38"/>
      <c r="F145" s="41"/>
      <c r="G145" s="130">
        <f t="shared" si="24"/>
        <v>0</v>
      </c>
      <c r="H145" s="122"/>
      <c r="I145" s="124"/>
      <c r="J145" s="125"/>
      <c r="K145" s="126"/>
      <c r="L145" s="124"/>
      <c r="M145" s="124"/>
      <c r="N145" s="123"/>
      <c r="O145" s="126"/>
      <c r="P145" s="124"/>
      <c r="Q145" s="124"/>
      <c r="R145" s="123"/>
      <c r="S145" s="126"/>
      <c r="T145" s="124"/>
      <c r="U145" s="124"/>
      <c r="V145" s="123"/>
    </row>
    <row r="146" spans="1:22" ht="12.75">
      <c r="A146" s="121">
        <v>138</v>
      </c>
      <c r="B146" s="149" t="s">
        <v>251</v>
      </c>
      <c r="C146" s="29">
        <f t="shared" si="20"/>
        <v>0</v>
      </c>
      <c r="D146" s="124">
        <f t="shared" si="20"/>
        <v>0</v>
      </c>
      <c r="E146" s="38"/>
      <c r="F146" s="41"/>
      <c r="G146" s="130">
        <f t="shared" si="24"/>
        <v>0</v>
      </c>
      <c r="H146" s="124"/>
      <c r="I146" s="124"/>
      <c r="J146" s="125"/>
      <c r="K146" s="126"/>
      <c r="L146" s="124"/>
      <c r="M146" s="124"/>
      <c r="N146" s="123"/>
      <c r="O146" s="126"/>
      <c r="P146" s="124"/>
      <c r="Q146" s="124"/>
      <c r="R146" s="123"/>
      <c r="S146" s="126"/>
      <c r="T146" s="124"/>
      <c r="U146" s="124"/>
      <c r="V146" s="123"/>
    </row>
    <row r="147" spans="1:22" ht="12.75">
      <c r="A147" s="121">
        <f>+A146+1</f>
        <v>139</v>
      </c>
      <c r="B147" s="56" t="s">
        <v>252</v>
      </c>
      <c r="C147" s="29">
        <f t="shared" si="20"/>
        <v>0</v>
      </c>
      <c r="D147" s="124">
        <f t="shared" si="20"/>
        <v>0</v>
      </c>
      <c r="E147" s="38"/>
      <c r="F147" s="41"/>
      <c r="G147" s="130"/>
      <c r="H147" s="124"/>
      <c r="I147" s="124"/>
      <c r="J147" s="125"/>
      <c r="K147" s="126">
        <f>L147+N147</f>
        <v>0</v>
      </c>
      <c r="L147" s="124"/>
      <c r="M147" s="124"/>
      <c r="N147" s="123"/>
      <c r="O147" s="126"/>
      <c r="P147" s="124"/>
      <c r="Q147" s="124"/>
      <c r="R147" s="123"/>
      <c r="S147" s="126"/>
      <c r="T147" s="124"/>
      <c r="U147" s="124"/>
      <c r="V147" s="123"/>
    </row>
    <row r="148" spans="1:22" ht="12.75">
      <c r="A148" s="121">
        <f>+A147+1</f>
        <v>140</v>
      </c>
      <c r="B148" s="56" t="s">
        <v>253</v>
      </c>
      <c r="C148" s="29">
        <f t="shared" si="20"/>
        <v>0</v>
      </c>
      <c r="D148" s="124">
        <f t="shared" si="20"/>
        <v>0</v>
      </c>
      <c r="E148" s="38"/>
      <c r="F148" s="41"/>
      <c r="G148" s="130"/>
      <c r="H148" s="124"/>
      <c r="I148" s="124"/>
      <c r="J148" s="125"/>
      <c r="K148" s="126">
        <f>L148+N148</f>
        <v>0</v>
      </c>
      <c r="L148" s="124"/>
      <c r="M148" s="124"/>
      <c r="N148" s="123"/>
      <c r="O148" s="126"/>
      <c r="P148" s="124"/>
      <c r="Q148" s="124"/>
      <c r="R148" s="123"/>
      <c r="S148" s="126"/>
      <c r="T148" s="124"/>
      <c r="U148" s="124"/>
      <c r="V148" s="123"/>
    </row>
    <row r="149" spans="1:22" ht="12.75">
      <c r="A149" s="121">
        <v>141</v>
      </c>
      <c r="B149" s="56" t="s">
        <v>254</v>
      </c>
      <c r="C149" s="29"/>
      <c r="D149" s="124"/>
      <c r="E149" s="38"/>
      <c r="F149" s="41"/>
      <c r="G149" s="130"/>
      <c r="H149" s="124"/>
      <c r="I149" s="124"/>
      <c r="J149" s="125"/>
      <c r="K149" s="126">
        <f>L149+N149</f>
        <v>0</v>
      </c>
      <c r="L149" s="124"/>
      <c r="M149" s="124"/>
      <c r="N149" s="123"/>
      <c r="O149" s="126"/>
      <c r="P149" s="124"/>
      <c r="Q149" s="124"/>
      <c r="R149" s="123"/>
      <c r="S149" s="126"/>
      <c r="T149" s="124"/>
      <c r="U149" s="124"/>
      <c r="V149" s="123"/>
    </row>
    <row r="150" spans="1:22" ht="12.75">
      <c r="A150" s="121">
        <v>142</v>
      </c>
      <c r="B150" s="56" t="s">
        <v>255</v>
      </c>
      <c r="C150" s="29">
        <f t="shared" si="20"/>
        <v>0</v>
      </c>
      <c r="D150" s="124">
        <f t="shared" si="20"/>
        <v>0</v>
      </c>
      <c r="E150" s="38"/>
      <c r="F150" s="41"/>
      <c r="G150" s="130">
        <f t="shared" si="24"/>
        <v>0</v>
      </c>
      <c r="H150" s="124"/>
      <c r="I150" s="124"/>
      <c r="J150" s="125"/>
      <c r="K150" s="126"/>
      <c r="L150" s="124"/>
      <c r="M150" s="124"/>
      <c r="N150" s="123"/>
      <c r="O150" s="126"/>
      <c r="P150" s="124"/>
      <c r="Q150" s="124"/>
      <c r="R150" s="123"/>
      <c r="S150" s="126"/>
      <c r="T150" s="124"/>
      <c r="U150" s="124"/>
      <c r="V150" s="123"/>
    </row>
    <row r="151" spans="1:22" ht="38.25">
      <c r="A151" s="174">
        <v>143</v>
      </c>
      <c r="B151" s="175" t="s">
        <v>256</v>
      </c>
      <c r="C151" s="176">
        <f t="shared" si="20"/>
        <v>0</v>
      </c>
      <c r="D151" s="177">
        <f>H151+L151+P151+T151</f>
        <v>0</v>
      </c>
      <c r="E151" s="178"/>
      <c r="F151" s="179"/>
      <c r="G151" s="180">
        <f t="shared" si="24"/>
        <v>0</v>
      </c>
      <c r="H151" s="181"/>
      <c r="I151" s="182"/>
      <c r="J151" s="183"/>
      <c r="K151" s="126"/>
      <c r="L151" s="182"/>
      <c r="M151" s="182"/>
      <c r="N151" s="184"/>
      <c r="O151" s="185"/>
      <c r="P151" s="182"/>
      <c r="Q151" s="182"/>
      <c r="R151" s="184"/>
      <c r="S151" s="57"/>
      <c r="T151" s="182"/>
      <c r="U151" s="182"/>
      <c r="V151" s="184"/>
    </row>
    <row r="152" spans="1:22" ht="12.75">
      <c r="A152" s="174">
        <v>144</v>
      </c>
      <c r="B152" s="175" t="s">
        <v>257</v>
      </c>
      <c r="C152" s="176">
        <f t="shared" si="20"/>
        <v>0</v>
      </c>
      <c r="D152" s="177">
        <f>H152+L152+P152+T152</f>
        <v>0</v>
      </c>
      <c r="E152" s="177">
        <f>I152+M152+Q152+U152</f>
        <v>0</v>
      </c>
      <c r="F152" s="179"/>
      <c r="G152" s="180"/>
      <c r="H152" s="181"/>
      <c r="I152" s="182"/>
      <c r="J152" s="183"/>
      <c r="K152" s="126">
        <f>L152+N152</f>
        <v>0</v>
      </c>
      <c r="L152" s="182"/>
      <c r="M152" s="182"/>
      <c r="N152" s="184"/>
      <c r="O152" s="185"/>
      <c r="P152" s="182"/>
      <c r="Q152" s="182"/>
      <c r="R152" s="184"/>
      <c r="S152" s="57"/>
      <c r="T152" s="182"/>
      <c r="U152" s="182"/>
      <c r="V152" s="184"/>
    </row>
    <row r="153" spans="1:22" ht="25.5">
      <c r="A153" s="121">
        <v>145</v>
      </c>
      <c r="B153" s="134" t="s">
        <v>258</v>
      </c>
      <c r="C153" s="29">
        <f t="shared" si="20"/>
        <v>0</v>
      </c>
      <c r="D153" s="177"/>
      <c r="E153" s="38"/>
      <c r="F153" s="45">
        <f t="shared" si="20"/>
        <v>0</v>
      </c>
      <c r="G153" s="180">
        <f t="shared" si="24"/>
        <v>0</v>
      </c>
      <c r="H153" s="124"/>
      <c r="I153" s="124"/>
      <c r="J153" s="125"/>
      <c r="K153" s="126"/>
      <c r="L153" s="124"/>
      <c r="M153" s="124"/>
      <c r="N153" s="123"/>
      <c r="O153" s="126"/>
      <c r="P153" s="124"/>
      <c r="Q153" s="124"/>
      <c r="R153" s="123"/>
      <c r="S153" s="126"/>
      <c r="T153" s="124"/>
      <c r="U153" s="124"/>
      <c r="V153" s="123"/>
    </row>
    <row r="154" spans="1:22" ht="25.5">
      <c r="A154" s="121">
        <v>146</v>
      </c>
      <c r="B154" s="186" t="s">
        <v>121</v>
      </c>
      <c r="C154" s="29">
        <f t="shared" si="20"/>
        <v>0</v>
      </c>
      <c r="D154" s="177"/>
      <c r="E154" s="38"/>
      <c r="F154" s="45">
        <f t="shared" si="20"/>
        <v>0</v>
      </c>
      <c r="G154" s="180">
        <f t="shared" si="24"/>
        <v>0</v>
      </c>
      <c r="H154" s="124"/>
      <c r="I154" s="124"/>
      <c r="J154" s="125"/>
      <c r="K154" s="126"/>
      <c r="L154" s="124"/>
      <c r="M154" s="124"/>
      <c r="N154" s="123"/>
      <c r="O154" s="126"/>
      <c r="P154" s="124"/>
      <c r="Q154" s="124"/>
      <c r="R154" s="123"/>
      <c r="S154" s="126"/>
      <c r="T154" s="124"/>
      <c r="U154" s="124"/>
      <c r="V154" s="123"/>
    </row>
    <row r="155" spans="1:22" ht="12.75">
      <c r="A155" s="121">
        <v>147</v>
      </c>
      <c r="B155" s="186" t="s">
        <v>259</v>
      </c>
      <c r="C155" s="29">
        <f t="shared" si="20"/>
        <v>0</v>
      </c>
      <c r="D155" s="177">
        <f>H155+L155+P155+T155</f>
        <v>0</v>
      </c>
      <c r="E155" s="38"/>
      <c r="F155" s="45"/>
      <c r="G155" s="180">
        <f t="shared" si="24"/>
        <v>0</v>
      </c>
      <c r="H155" s="124"/>
      <c r="I155" s="124"/>
      <c r="J155" s="125"/>
      <c r="K155" s="126"/>
      <c r="L155" s="124"/>
      <c r="M155" s="124"/>
      <c r="N155" s="123"/>
      <c r="O155" s="126"/>
      <c r="P155" s="124"/>
      <c r="Q155" s="124"/>
      <c r="R155" s="123"/>
      <c r="S155" s="126"/>
      <c r="T155" s="124"/>
      <c r="U155" s="124"/>
      <c r="V155" s="123"/>
    </row>
    <row r="156" spans="1:22" ht="12.75">
      <c r="A156" s="121">
        <v>148</v>
      </c>
      <c r="B156" s="186" t="s">
        <v>260</v>
      </c>
      <c r="C156" s="29">
        <f t="shared" si="20"/>
        <v>0</v>
      </c>
      <c r="D156" s="177">
        <f>H156+L156+P156+T156</f>
        <v>0</v>
      </c>
      <c r="E156" s="38"/>
      <c r="F156" s="45"/>
      <c r="G156" s="180">
        <f t="shared" si="24"/>
        <v>0</v>
      </c>
      <c r="H156" s="124"/>
      <c r="I156" s="124"/>
      <c r="J156" s="125"/>
      <c r="K156" s="126"/>
      <c r="L156" s="124"/>
      <c r="M156" s="124"/>
      <c r="N156" s="123"/>
      <c r="O156" s="126"/>
      <c r="P156" s="124"/>
      <c r="Q156" s="124"/>
      <c r="R156" s="123"/>
      <c r="S156" s="126"/>
      <c r="T156" s="124"/>
      <c r="U156" s="124"/>
      <c r="V156" s="123"/>
    </row>
    <row r="157" spans="1:22" ht="12.75">
      <c r="A157" s="121">
        <v>149</v>
      </c>
      <c r="B157" s="35" t="s">
        <v>72</v>
      </c>
      <c r="C157" s="40">
        <f t="shared" si="20"/>
        <v>0</v>
      </c>
      <c r="D157" s="38">
        <f t="shared" si="20"/>
        <v>0</v>
      </c>
      <c r="E157" s="38">
        <f t="shared" si="20"/>
        <v>0</v>
      </c>
      <c r="F157" s="41"/>
      <c r="G157" s="36">
        <f t="shared" si="24"/>
        <v>0</v>
      </c>
      <c r="H157" s="38"/>
      <c r="I157" s="38"/>
      <c r="J157" s="39"/>
      <c r="K157" s="40"/>
      <c r="L157" s="38"/>
      <c r="M157" s="38"/>
      <c r="N157" s="123"/>
      <c r="O157" s="126"/>
      <c r="P157" s="124"/>
      <c r="Q157" s="124"/>
      <c r="R157" s="123"/>
      <c r="S157" s="40">
        <f>T157+V157</f>
        <v>0</v>
      </c>
      <c r="T157" s="38"/>
      <c r="U157" s="38"/>
      <c r="V157" s="41"/>
    </row>
    <row r="158" spans="1:22" ht="12.75">
      <c r="A158" s="121">
        <f aca="true" t="shared" si="26" ref="A158:A205">+A157+1</f>
        <v>150</v>
      </c>
      <c r="B158" s="35" t="s">
        <v>42</v>
      </c>
      <c r="C158" s="40">
        <f t="shared" si="20"/>
        <v>0</v>
      </c>
      <c r="D158" s="38">
        <f t="shared" si="20"/>
        <v>0</v>
      </c>
      <c r="E158" s="38">
        <f t="shared" si="20"/>
        <v>0</v>
      </c>
      <c r="F158" s="41"/>
      <c r="G158" s="36"/>
      <c r="H158" s="32"/>
      <c r="I158" s="32"/>
      <c r="J158" s="43"/>
      <c r="K158" s="40">
        <f aca="true" t="shared" si="27" ref="K158:K169">L158+N158</f>
        <v>0</v>
      </c>
      <c r="L158" s="38"/>
      <c r="M158" s="38"/>
      <c r="N158" s="45"/>
      <c r="O158" s="126"/>
      <c r="P158" s="124"/>
      <c r="Q158" s="124"/>
      <c r="R158" s="123"/>
      <c r="S158" s="126"/>
      <c r="T158" s="124"/>
      <c r="U158" s="124"/>
      <c r="V158" s="123"/>
    </row>
    <row r="159" spans="1:22" ht="12.75">
      <c r="A159" s="121">
        <f t="shared" si="26"/>
        <v>151</v>
      </c>
      <c r="B159" s="35" t="s">
        <v>43</v>
      </c>
      <c r="C159" s="40">
        <f t="shared" si="20"/>
        <v>0</v>
      </c>
      <c r="D159" s="38">
        <f t="shared" si="20"/>
        <v>0</v>
      </c>
      <c r="E159" s="38">
        <f t="shared" si="20"/>
        <v>0</v>
      </c>
      <c r="F159" s="41"/>
      <c r="G159" s="36"/>
      <c r="H159" s="32"/>
      <c r="I159" s="32"/>
      <c r="J159" s="43"/>
      <c r="K159" s="40">
        <f t="shared" si="27"/>
        <v>0</v>
      </c>
      <c r="L159" s="38"/>
      <c r="M159" s="38"/>
      <c r="N159" s="45"/>
      <c r="O159" s="126"/>
      <c r="P159" s="124"/>
      <c r="Q159" s="124"/>
      <c r="R159" s="123"/>
      <c r="S159" s="126"/>
      <c r="T159" s="124"/>
      <c r="U159" s="124"/>
      <c r="V159" s="123"/>
    </row>
    <row r="160" spans="1:22" ht="12.75">
      <c r="A160" s="121">
        <f t="shared" si="26"/>
        <v>152</v>
      </c>
      <c r="B160" s="35" t="s">
        <v>44</v>
      </c>
      <c r="C160" s="40">
        <f t="shared" si="20"/>
        <v>0</v>
      </c>
      <c r="D160" s="38">
        <f t="shared" si="20"/>
        <v>0</v>
      </c>
      <c r="E160" s="38">
        <f t="shared" si="20"/>
        <v>0</v>
      </c>
      <c r="F160" s="41"/>
      <c r="G160" s="36"/>
      <c r="H160" s="32"/>
      <c r="I160" s="32"/>
      <c r="J160" s="43"/>
      <c r="K160" s="40">
        <f t="shared" si="27"/>
        <v>0</v>
      </c>
      <c r="L160" s="38"/>
      <c r="M160" s="38"/>
      <c r="N160" s="45"/>
      <c r="O160" s="126"/>
      <c r="P160" s="124"/>
      <c r="Q160" s="124"/>
      <c r="R160" s="123"/>
      <c r="S160" s="126"/>
      <c r="T160" s="124"/>
      <c r="U160" s="124"/>
      <c r="V160" s="123"/>
    </row>
    <row r="161" spans="1:22" ht="12.75">
      <c r="A161" s="121">
        <f t="shared" si="26"/>
        <v>153</v>
      </c>
      <c r="B161" s="35" t="s">
        <v>45</v>
      </c>
      <c r="C161" s="40">
        <f t="shared" si="20"/>
        <v>0</v>
      </c>
      <c r="D161" s="38">
        <f t="shared" si="20"/>
        <v>0</v>
      </c>
      <c r="E161" s="38">
        <f t="shared" si="20"/>
        <v>0</v>
      </c>
      <c r="F161" s="41"/>
      <c r="G161" s="36"/>
      <c r="H161" s="32"/>
      <c r="I161" s="32"/>
      <c r="J161" s="43"/>
      <c r="K161" s="40">
        <f t="shared" si="27"/>
        <v>0</v>
      </c>
      <c r="L161" s="38"/>
      <c r="M161" s="38"/>
      <c r="N161" s="45"/>
      <c r="O161" s="126"/>
      <c r="P161" s="124"/>
      <c r="Q161" s="124"/>
      <c r="R161" s="123"/>
      <c r="S161" s="126"/>
      <c r="T161" s="124"/>
      <c r="U161" s="124"/>
      <c r="V161" s="123"/>
    </row>
    <row r="162" spans="1:22" ht="12.75">
      <c r="A162" s="121">
        <f t="shared" si="26"/>
        <v>154</v>
      </c>
      <c r="B162" s="35" t="s">
        <v>46</v>
      </c>
      <c r="C162" s="40">
        <f t="shared" si="20"/>
        <v>0</v>
      </c>
      <c r="D162" s="38">
        <f t="shared" si="20"/>
        <v>0</v>
      </c>
      <c r="E162" s="38">
        <f t="shared" si="20"/>
        <v>0</v>
      </c>
      <c r="F162" s="41"/>
      <c r="G162" s="36"/>
      <c r="H162" s="32"/>
      <c r="I162" s="32"/>
      <c r="J162" s="43"/>
      <c r="K162" s="40">
        <f t="shared" si="27"/>
        <v>0</v>
      </c>
      <c r="L162" s="38"/>
      <c r="M162" s="38"/>
      <c r="N162" s="45"/>
      <c r="O162" s="126"/>
      <c r="P162" s="124"/>
      <c r="Q162" s="124"/>
      <c r="R162" s="123"/>
      <c r="S162" s="126"/>
      <c r="T162" s="124"/>
      <c r="U162" s="124"/>
      <c r="V162" s="123"/>
    </row>
    <row r="163" spans="1:22" ht="12.75">
      <c r="A163" s="121">
        <f t="shared" si="26"/>
        <v>155</v>
      </c>
      <c r="B163" s="35" t="s">
        <v>47</v>
      </c>
      <c r="C163" s="40">
        <f t="shared" si="20"/>
        <v>0</v>
      </c>
      <c r="D163" s="38">
        <f t="shared" si="20"/>
        <v>0</v>
      </c>
      <c r="E163" s="38">
        <f t="shared" si="20"/>
        <v>0</v>
      </c>
      <c r="F163" s="41"/>
      <c r="G163" s="36"/>
      <c r="H163" s="32"/>
      <c r="I163" s="32"/>
      <c r="J163" s="43"/>
      <c r="K163" s="40">
        <f t="shared" si="27"/>
        <v>0</v>
      </c>
      <c r="L163" s="38"/>
      <c r="M163" s="38"/>
      <c r="N163" s="45"/>
      <c r="O163" s="126"/>
      <c r="P163" s="124"/>
      <c r="Q163" s="124"/>
      <c r="R163" s="123"/>
      <c r="S163" s="126"/>
      <c r="T163" s="124"/>
      <c r="U163" s="124"/>
      <c r="V163" s="123"/>
    </row>
    <row r="164" spans="1:22" ht="12.75">
      <c r="A164" s="121">
        <f t="shared" si="26"/>
        <v>156</v>
      </c>
      <c r="B164" s="35" t="s">
        <v>48</v>
      </c>
      <c r="C164" s="40">
        <f t="shared" si="20"/>
        <v>0</v>
      </c>
      <c r="D164" s="38">
        <f t="shared" si="20"/>
        <v>0</v>
      </c>
      <c r="E164" s="38">
        <f t="shared" si="20"/>
        <v>0</v>
      </c>
      <c r="F164" s="41"/>
      <c r="G164" s="36"/>
      <c r="H164" s="32"/>
      <c r="I164" s="32"/>
      <c r="J164" s="43"/>
      <c r="K164" s="40">
        <f t="shared" si="27"/>
        <v>0</v>
      </c>
      <c r="L164" s="38"/>
      <c r="M164" s="38"/>
      <c r="N164" s="45"/>
      <c r="O164" s="126"/>
      <c r="P164" s="124"/>
      <c r="Q164" s="124"/>
      <c r="R164" s="123"/>
      <c r="S164" s="126"/>
      <c r="T164" s="124"/>
      <c r="U164" s="124"/>
      <c r="V164" s="123"/>
    </row>
    <row r="165" spans="1:22" ht="12.75">
      <c r="A165" s="121">
        <f t="shared" si="26"/>
        <v>157</v>
      </c>
      <c r="B165" s="35" t="s">
        <v>49</v>
      </c>
      <c r="C165" s="40">
        <f aca="true" t="shared" si="28" ref="C165:E174">G165+K165+O165+S165</f>
        <v>0</v>
      </c>
      <c r="D165" s="38">
        <f t="shared" si="28"/>
        <v>0</v>
      </c>
      <c r="E165" s="38">
        <f t="shared" si="28"/>
        <v>0</v>
      </c>
      <c r="F165" s="41"/>
      <c r="G165" s="36"/>
      <c r="H165" s="32"/>
      <c r="I165" s="32"/>
      <c r="J165" s="43"/>
      <c r="K165" s="40">
        <f t="shared" si="27"/>
        <v>0</v>
      </c>
      <c r="L165" s="38"/>
      <c r="M165" s="38"/>
      <c r="N165" s="45"/>
      <c r="O165" s="126"/>
      <c r="P165" s="124"/>
      <c r="Q165" s="124"/>
      <c r="R165" s="123"/>
      <c r="S165" s="126"/>
      <c r="T165" s="124"/>
      <c r="U165" s="124"/>
      <c r="V165" s="123"/>
    </row>
    <row r="166" spans="1:22" ht="12.75">
      <c r="A166" s="121">
        <f t="shared" si="26"/>
        <v>158</v>
      </c>
      <c r="B166" s="35" t="s">
        <v>73</v>
      </c>
      <c r="C166" s="40">
        <f t="shared" si="28"/>
        <v>0</v>
      </c>
      <c r="D166" s="38">
        <f t="shared" si="28"/>
        <v>0</v>
      </c>
      <c r="E166" s="38">
        <f t="shared" si="28"/>
        <v>0</v>
      </c>
      <c r="F166" s="41"/>
      <c r="G166" s="36">
        <f t="shared" si="24"/>
        <v>0</v>
      </c>
      <c r="H166" s="38"/>
      <c r="I166" s="32"/>
      <c r="J166" s="43"/>
      <c r="K166" s="40">
        <f t="shared" si="27"/>
        <v>0</v>
      </c>
      <c r="L166" s="38"/>
      <c r="M166" s="38"/>
      <c r="N166" s="45"/>
      <c r="O166" s="126"/>
      <c r="P166" s="124"/>
      <c r="Q166" s="124"/>
      <c r="R166" s="123"/>
      <c r="S166" s="126"/>
      <c r="T166" s="124"/>
      <c r="U166" s="124"/>
      <c r="V166" s="123"/>
    </row>
    <row r="167" spans="1:22" ht="12.75">
      <c r="A167" s="121">
        <f t="shared" si="26"/>
        <v>159</v>
      </c>
      <c r="B167" s="35" t="s">
        <v>51</v>
      </c>
      <c r="C167" s="40">
        <f t="shared" si="28"/>
        <v>0</v>
      </c>
      <c r="D167" s="38">
        <f t="shared" si="28"/>
        <v>0</v>
      </c>
      <c r="E167" s="38">
        <f t="shared" si="28"/>
        <v>0</v>
      </c>
      <c r="F167" s="41"/>
      <c r="G167" s="36"/>
      <c r="H167" s="32"/>
      <c r="I167" s="32"/>
      <c r="J167" s="43"/>
      <c r="K167" s="40">
        <f t="shared" si="27"/>
        <v>0</v>
      </c>
      <c r="L167" s="38"/>
      <c r="M167" s="38"/>
      <c r="N167" s="45"/>
      <c r="O167" s="126"/>
      <c r="P167" s="124"/>
      <c r="Q167" s="124"/>
      <c r="R167" s="123"/>
      <c r="S167" s="126"/>
      <c r="T167" s="124"/>
      <c r="U167" s="124"/>
      <c r="V167" s="123"/>
    </row>
    <row r="168" spans="1:22" ht="12.75">
      <c r="A168" s="121">
        <f t="shared" si="26"/>
        <v>160</v>
      </c>
      <c r="B168" s="73" t="s">
        <v>187</v>
      </c>
      <c r="C168" s="40">
        <f t="shared" si="28"/>
        <v>0</v>
      </c>
      <c r="D168" s="38">
        <f t="shared" si="28"/>
        <v>0</v>
      </c>
      <c r="E168" s="38">
        <f t="shared" si="28"/>
        <v>0</v>
      </c>
      <c r="F168" s="41"/>
      <c r="G168" s="131"/>
      <c r="H168" s="124"/>
      <c r="I168" s="124"/>
      <c r="J168" s="131"/>
      <c r="K168" s="51">
        <f t="shared" si="27"/>
        <v>0</v>
      </c>
      <c r="L168" s="38"/>
      <c r="M168" s="38"/>
      <c r="N168" s="128"/>
      <c r="O168" s="133"/>
      <c r="P168" s="124"/>
      <c r="Q168" s="124"/>
      <c r="R168" s="128"/>
      <c r="S168" s="133"/>
      <c r="T168" s="124"/>
      <c r="U168" s="124"/>
      <c r="V168" s="128"/>
    </row>
    <row r="169" spans="1:22" ht="12.75">
      <c r="A169" s="121">
        <f t="shared" si="26"/>
        <v>161</v>
      </c>
      <c r="B169" s="56" t="s">
        <v>261</v>
      </c>
      <c r="C169" s="29">
        <f t="shared" si="28"/>
        <v>0</v>
      </c>
      <c r="D169" s="32">
        <f t="shared" si="28"/>
        <v>0</v>
      </c>
      <c r="E169" s="32">
        <f t="shared" si="28"/>
        <v>0</v>
      </c>
      <c r="F169" s="41"/>
      <c r="G169" s="131"/>
      <c r="H169" s="38"/>
      <c r="I169" s="38"/>
      <c r="J169" s="127"/>
      <c r="K169" s="187">
        <f t="shared" si="27"/>
        <v>0</v>
      </c>
      <c r="L169" s="32"/>
      <c r="M169" s="32"/>
      <c r="N169" s="128"/>
      <c r="O169" s="133"/>
      <c r="P169" s="124"/>
      <c r="Q169" s="124"/>
      <c r="R169" s="128"/>
      <c r="S169" s="133"/>
      <c r="T169" s="124"/>
      <c r="U169" s="124"/>
      <c r="V169" s="128"/>
    </row>
    <row r="170" spans="1:22" ht="12.75">
      <c r="A170" s="121">
        <f t="shared" si="26"/>
        <v>162</v>
      </c>
      <c r="B170" s="35" t="s">
        <v>83</v>
      </c>
      <c r="C170" s="40">
        <f t="shared" si="28"/>
        <v>0</v>
      </c>
      <c r="D170" s="38">
        <f t="shared" si="28"/>
        <v>0</v>
      </c>
      <c r="E170" s="38"/>
      <c r="F170" s="41"/>
      <c r="G170" s="127">
        <f>G171+G172</f>
        <v>0</v>
      </c>
      <c r="H170" s="38"/>
      <c r="I170" s="124"/>
      <c r="J170" s="131"/>
      <c r="K170" s="133"/>
      <c r="L170" s="124"/>
      <c r="M170" s="124"/>
      <c r="N170" s="128"/>
      <c r="O170" s="133"/>
      <c r="P170" s="124"/>
      <c r="Q170" s="124"/>
      <c r="R170" s="128"/>
      <c r="S170" s="133"/>
      <c r="T170" s="124"/>
      <c r="U170" s="124"/>
      <c r="V170" s="128"/>
    </row>
    <row r="171" spans="1:22" ht="12.75">
      <c r="A171" s="121">
        <f t="shared" si="26"/>
        <v>163</v>
      </c>
      <c r="B171" s="149" t="s">
        <v>262</v>
      </c>
      <c r="C171" s="29">
        <f t="shared" si="28"/>
        <v>0</v>
      </c>
      <c r="D171" s="124">
        <f t="shared" si="28"/>
        <v>0</v>
      </c>
      <c r="E171" s="124"/>
      <c r="F171" s="123"/>
      <c r="G171" s="131">
        <f t="shared" si="24"/>
        <v>0</v>
      </c>
      <c r="H171" s="124"/>
      <c r="I171" s="124"/>
      <c r="J171" s="131"/>
      <c r="K171" s="133"/>
      <c r="L171" s="124"/>
      <c r="M171" s="124"/>
      <c r="N171" s="128"/>
      <c r="O171" s="133"/>
      <c r="P171" s="124"/>
      <c r="Q171" s="124"/>
      <c r="R171" s="128"/>
      <c r="S171" s="133"/>
      <c r="T171" s="124"/>
      <c r="U171" s="124"/>
      <c r="V171" s="128"/>
    </row>
    <row r="172" spans="1:22" ht="12.75">
      <c r="A172" s="121">
        <f t="shared" si="26"/>
        <v>164</v>
      </c>
      <c r="B172" s="56" t="s">
        <v>263</v>
      </c>
      <c r="C172" s="29">
        <f t="shared" si="28"/>
        <v>0</v>
      </c>
      <c r="D172" s="124">
        <f t="shared" si="28"/>
        <v>0</v>
      </c>
      <c r="E172" s="124"/>
      <c r="F172" s="123"/>
      <c r="G172" s="131">
        <f aca="true" t="shared" si="29" ref="G172:G207">H172+J172</f>
        <v>0</v>
      </c>
      <c r="H172" s="124"/>
      <c r="I172" s="124"/>
      <c r="J172" s="131"/>
      <c r="K172" s="133"/>
      <c r="L172" s="124"/>
      <c r="M172" s="124"/>
      <c r="N172" s="128"/>
      <c r="O172" s="133"/>
      <c r="P172" s="124"/>
      <c r="Q172" s="124"/>
      <c r="R172" s="128"/>
      <c r="S172" s="133"/>
      <c r="T172" s="124"/>
      <c r="U172" s="124"/>
      <c r="V172" s="128"/>
    </row>
    <row r="173" spans="1:22" ht="12.75">
      <c r="A173" s="121">
        <v>165</v>
      </c>
      <c r="B173" s="35" t="s">
        <v>41</v>
      </c>
      <c r="C173" s="40">
        <f t="shared" si="28"/>
        <v>0</v>
      </c>
      <c r="D173" s="38">
        <f t="shared" si="28"/>
        <v>0</v>
      </c>
      <c r="E173" s="38">
        <f>I173+M173+Q173+U173</f>
        <v>0</v>
      </c>
      <c r="F173" s="41"/>
      <c r="G173" s="36"/>
      <c r="H173" s="38"/>
      <c r="I173" s="38"/>
      <c r="J173" s="125"/>
      <c r="K173" s="51">
        <f>L173+N173</f>
        <v>0</v>
      </c>
      <c r="L173" s="38"/>
      <c r="M173" s="38"/>
      <c r="N173" s="123"/>
      <c r="O173" s="126"/>
      <c r="P173" s="124"/>
      <c r="Q173" s="124"/>
      <c r="R173" s="123"/>
      <c r="S173" s="40">
        <f>T173+V173</f>
        <v>0</v>
      </c>
      <c r="T173" s="38"/>
      <c r="U173" s="38"/>
      <c r="V173" s="123"/>
    </row>
    <row r="174" spans="1:22" ht="13.5" thickBot="1">
      <c r="A174" s="150">
        <f t="shared" si="26"/>
        <v>166</v>
      </c>
      <c r="B174" s="188" t="s">
        <v>264</v>
      </c>
      <c r="C174" s="65">
        <f t="shared" si="28"/>
        <v>0</v>
      </c>
      <c r="D174" s="171">
        <f t="shared" si="28"/>
        <v>0</v>
      </c>
      <c r="E174" s="171">
        <f>I174+M174+Q174+U174</f>
        <v>0</v>
      </c>
      <c r="F174" s="172"/>
      <c r="G174" s="189"/>
      <c r="H174" s="171"/>
      <c r="I174" s="171"/>
      <c r="J174" s="190"/>
      <c r="K174" s="187">
        <f>L174+N174</f>
        <v>0</v>
      </c>
      <c r="L174" s="171"/>
      <c r="M174" s="171"/>
      <c r="N174" s="172"/>
      <c r="O174" s="170"/>
      <c r="P174" s="171"/>
      <c r="Q174" s="171"/>
      <c r="R174" s="172"/>
      <c r="S174" s="29">
        <f>T174+V174</f>
        <v>0</v>
      </c>
      <c r="T174" s="171"/>
      <c r="U174" s="171"/>
      <c r="V174" s="172"/>
    </row>
    <row r="175" spans="1:22" ht="45.75" thickBot="1">
      <c r="A175" s="101">
        <f t="shared" si="26"/>
        <v>167</v>
      </c>
      <c r="B175" s="102" t="s">
        <v>265</v>
      </c>
      <c r="C175" s="94">
        <f aca="true" t="shared" si="30" ref="C175:L175">C176+C185+SUM(C187:C196)</f>
        <v>0</v>
      </c>
      <c r="D175" s="89">
        <f t="shared" si="30"/>
        <v>0</v>
      </c>
      <c r="E175" s="89">
        <f t="shared" si="30"/>
        <v>0</v>
      </c>
      <c r="F175" s="92">
        <f t="shared" si="30"/>
        <v>0</v>
      </c>
      <c r="G175" s="103">
        <f t="shared" si="30"/>
        <v>0</v>
      </c>
      <c r="H175" s="89">
        <f t="shared" si="30"/>
        <v>0</v>
      </c>
      <c r="I175" s="89">
        <f>I176+I185+SUM(I187:I196)</f>
        <v>0</v>
      </c>
      <c r="J175" s="95">
        <f t="shared" si="30"/>
        <v>0</v>
      </c>
      <c r="K175" s="94">
        <f t="shared" si="30"/>
        <v>0</v>
      </c>
      <c r="L175" s="89">
        <f t="shared" si="30"/>
        <v>0</v>
      </c>
      <c r="M175" s="89"/>
      <c r="N175" s="105">
        <f>N176+N185+SUM(N187:N196)</f>
        <v>0</v>
      </c>
      <c r="O175" s="94"/>
      <c r="P175" s="89"/>
      <c r="Q175" s="89"/>
      <c r="R175" s="105"/>
      <c r="S175" s="94">
        <f>S176+S185+SUM(S187:S196)</f>
        <v>0</v>
      </c>
      <c r="T175" s="89">
        <f>T176+T185+SUM(T187:T196)</f>
        <v>0</v>
      </c>
      <c r="U175" s="89">
        <f>U176+U185+SUM(U187:U196)</f>
        <v>0</v>
      </c>
      <c r="V175" s="95">
        <f>V176+V185+SUM(V187:V196)</f>
        <v>0</v>
      </c>
    </row>
    <row r="176" spans="1:22" ht="12.75">
      <c r="A176" s="191">
        <f t="shared" si="26"/>
        <v>168</v>
      </c>
      <c r="B176" s="192" t="s">
        <v>196</v>
      </c>
      <c r="C176" s="161">
        <f>G176+K176+O176+S176</f>
        <v>0</v>
      </c>
      <c r="D176" s="141">
        <f>H176+L176+P176+T176</f>
        <v>0</v>
      </c>
      <c r="E176" s="141"/>
      <c r="F176" s="144">
        <f>J176+N176+R176+V176</f>
        <v>0</v>
      </c>
      <c r="G176" s="140">
        <f>G177+G179+G180+G181+G182+G183+G184</f>
        <v>0</v>
      </c>
      <c r="H176" s="141">
        <f>H177+H179+H180+H181+H182+H183+H184</f>
        <v>0</v>
      </c>
      <c r="I176" s="141"/>
      <c r="J176" s="193">
        <f>J177+J179</f>
        <v>0</v>
      </c>
      <c r="K176" s="140">
        <f>L176+N176</f>
        <v>0</v>
      </c>
      <c r="L176" s="140">
        <f>L177+L180+L181</f>
        <v>0</v>
      </c>
      <c r="M176" s="140"/>
      <c r="N176" s="194">
        <f>N177+N180+N181</f>
        <v>0</v>
      </c>
      <c r="O176" s="195"/>
      <c r="P176" s="196"/>
      <c r="Q176" s="196"/>
      <c r="R176" s="142"/>
      <c r="S176" s="162"/>
      <c r="T176" s="147"/>
      <c r="U176" s="147"/>
      <c r="V176" s="143"/>
    </row>
    <row r="177" spans="1:22" ht="12.75">
      <c r="A177" s="197">
        <f t="shared" si="26"/>
        <v>169</v>
      </c>
      <c r="B177" s="56" t="s">
        <v>266</v>
      </c>
      <c r="C177" s="29">
        <f>G177+K177+O177+S177</f>
        <v>0</v>
      </c>
      <c r="D177" s="124">
        <f>H177</f>
        <v>0</v>
      </c>
      <c r="E177" s="124"/>
      <c r="F177" s="125">
        <f>J177+N177+R177+V177</f>
        <v>0</v>
      </c>
      <c r="G177" s="126">
        <f t="shared" si="29"/>
        <v>0</v>
      </c>
      <c r="H177" s="32"/>
      <c r="I177" s="32"/>
      <c r="J177" s="45"/>
      <c r="K177" s="118">
        <f>L177+N177</f>
        <v>0</v>
      </c>
      <c r="L177" s="124"/>
      <c r="M177" s="124"/>
      <c r="N177" s="123">
        <f>N178</f>
        <v>0</v>
      </c>
      <c r="O177" s="126"/>
      <c r="P177" s="124"/>
      <c r="Q177" s="124"/>
      <c r="R177" s="123"/>
      <c r="S177" s="126"/>
      <c r="T177" s="124"/>
      <c r="U177" s="124"/>
      <c r="V177" s="123"/>
    </row>
    <row r="178" spans="1:22" ht="12.75">
      <c r="A178" s="197">
        <f t="shared" si="26"/>
        <v>170</v>
      </c>
      <c r="B178" s="56" t="s">
        <v>267</v>
      </c>
      <c r="C178" s="29">
        <f aca="true" t="shared" si="31" ref="C178:E208">G178+K178+O178+S178</f>
        <v>0</v>
      </c>
      <c r="D178" s="124"/>
      <c r="E178" s="124"/>
      <c r="F178" s="125">
        <f>J178+N178+R178+V178</f>
        <v>0</v>
      </c>
      <c r="G178" s="126"/>
      <c r="H178" s="32"/>
      <c r="I178" s="124"/>
      <c r="J178" s="123"/>
      <c r="K178" s="126">
        <f>L178+N178</f>
        <v>0</v>
      </c>
      <c r="L178" s="124"/>
      <c r="M178" s="124"/>
      <c r="N178" s="123"/>
      <c r="O178" s="126"/>
      <c r="P178" s="124"/>
      <c r="Q178" s="124"/>
      <c r="R178" s="123"/>
      <c r="S178" s="126"/>
      <c r="T178" s="124"/>
      <c r="U178" s="124"/>
      <c r="V178" s="123"/>
    </row>
    <row r="179" spans="1:22" ht="25.5">
      <c r="A179" s="197">
        <v>171</v>
      </c>
      <c r="B179" s="198" t="s">
        <v>268</v>
      </c>
      <c r="C179" s="187">
        <f t="shared" si="31"/>
        <v>0</v>
      </c>
      <c r="D179" s="32"/>
      <c r="E179" s="32"/>
      <c r="F179" s="125">
        <f>J179+N179+R179+V179</f>
        <v>0</v>
      </c>
      <c r="G179" s="126">
        <f t="shared" si="29"/>
        <v>0</v>
      </c>
      <c r="H179" s="32"/>
      <c r="I179" s="124"/>
      <c r="J179" s="12"/>
      <c r="K179" s="126"/>
      <c r="L179" s="124"/>
      <c r="M179" s="124"/>
      <c r="N179" s="123"/>
      <c r="O179" s="126"/>
      <c r="P179" s="124"/>
      <c r="Q179" s="124"/>
      <c r="R179" s="123"/>
      <c r="S179" s="126"/>
      <c r="T179" s="124"/>
      <c r="U179" s="124"/>
      <c r="V179" s="123"/>
    </row>
    <row r="180" spans="1:22" ht="12.75">
      <c r="A180" s="197">
        <f t="shared" si="26"/>
        <v>172</v>
      </c>
      <c r="B180" s="56" t="s">
        <v>269</v>
      </c>
      <c r="C180" s="29">
        <f t="shared" si="31"/>
        <v>0</v>
      </c>
      <c r="D180" s="124">
        <f t="shared" si="31"/>
        <v>0</v>
      </c>
      <c r="E180" s="124"/>
      <c r="F180" s="125"/>
      <c r="G180" s="126">
        <f t="shared" si="29"/>
        <v>0</v>
      </c>
      <c r="H180" s="124"/>
      <c r="I180" s="124"/>
      <c r="J180" s="123"/>
      <c r="K180" s="126"/>
      <c r="L180" s="124"/>
      <c r="M180" s="124"/>
      <c r="N180" s="123"/>
      <c r="O180" s="126"/>
      <c r="P180" s="124"/>
      <c r="Q180" s="124"/>
      <c r="R180" s="123"/>
      <c r="S180" s="126"/>
      <c r="T180" s="124"/>
      <c r="U180" s="124"/>
      <c r="V180" s="123"/>
    </row>
    <row r="181" spans="1:22" ht="12.75">
      <c r="A181" s="197">
        <f t="shared" si="26"/>
        <v>173</v>
      </c>
      <c r="B181" s="56" t="s">
        <v>261</v>
      </c>
      <c r="C181" s="29">
        <f t="shared" si="31"/>
        <v>0</v>
      </c>
      <c r="D181" s="124">
        <f t="shared" si="31"/>
        <v>0</v>
      </c>
      <c r="E181" s="124"/>
      <c r="F181" s="125"/>
      <c r="G181" s="126"/>
      <c r="H181" s="130"/>
      <c r="I181" s="130"/>
      <c r="J181" s="128"/>
      <c r="K181" s="126">
        <f>L181+N181</f>
        <v>0</v>
      </c>
      <c r="L181" s="130"/>
      <c r="M181" s="130"/>
      <c r="N181" s="128"/>
      <c r="O181" s="126"/>
      <c r="P181" s="130"/>
      <c r="Q181" s="130"/>
      <c r="R181" s="128"/>
      <c r="S181" s="126"/>
      <c r="T181" s="130"/>
      <c r="U181" s="130"/>
      <c r="V181" s="128"/>
    </row>
    <row r="182" spans="1:22" ht="12.75">
      <c r="A182" s="197">
        <v>174</v>
      </c>
      <c r="B182" s="56" t="s">
        <v>270</v>
      </c>
      <c r="C182" s="29">
        <f t="shared" si="31"/>
        <v>0</v>
      </c>
      <c r="D182" s="124">
        <f t="shared" si="31"/>
        <v>0</v>
      </c>
      <c r="E182" s="124"/>
      <c r="F182" s="125"/>
      <c r="G182" s="126">
        <f t="shared" si="29"/>
        <v>0</v>
      </c>
      <c r="H182" s="124"/>
      <c r="I182" s="130"/>
      <c r="J182" s="128"/>
      <c r="K182" s="133"/>
      <c r="L182" s="124"/>
      <c r="M182" s="130"/>
      <c r="N182" s="128"/>
      <c r="O182" s="133"/>
      <c r="P182" s="124"/>
      <c r="Q182" s="130"/>
      <c r="R182" s="128"/>
      <c r="S182" s="133"/>
      <c r="T182" s="124"/>
      <c r="U182" s="130"/>
      <c r="V182" s="128"/>
    </row>
    <row r="183" spans="1:22" ht="12.75">
      <c r="A183" s="197">
        <v>175</v>
      </c>
      <c r="B183" s="56" t="s">
        <v>271</v>
      </c>
      <c r="C183" s="29">
        <f t="shared" si="31"/>
        <v>0</v>
      </c>
      <c r="D183" s="124">
        <f t="shared" si="31"/>
        <v>0</v>
      </c>
      <c r="E183" s="124"/>
      <c r="F183" s="125"/>
      <c r="G183" s="133">
        <f t="shared" si="29"/>
        <v>0</v>
      </c>
      <c r="H183" s="124"/>
      <c r="I183" s="130"/>
      <c r="J183" s="128"/>
      <c r="K183" s="133"/>
      <c r="L183" s="124"/>
      <c r="M183" s="130"/>
      <c r="N183" s="128"/>
      <c r="O183" s="133"/>
      <c r="P183" s="124"/>
      <c r="Q183" s="130"/>
      <c r="R183" s="128"/>
      <c r="S183" s="133"/>
      <c r="T183" s="124"/>
      <c r="U183" s="130"/>
      <c r="V183" s="128"/>
    </row>
    <row r="184" spans="1:22" ht="12.75">
      <c r="A184" s="197">
        <v>176</v>
      </c>
      <c r="B184" s="56" t="s">
        <v>272</v>
      </c>
      <c r="C184" s="29">
        <f t="shared" si="31"/>
        <v>0</v>
      </c>
      <c r="D184" s="124">
        <f t="shared" si="31"/>
        <v>0</v>
      </c>
      <c r="E184" s="124"/>
      <c r="F184" s="125"/>
      <c r="G184" s="133">
        <f t="shared" si="29"/>
        <v>0</v>
      </c>
      <c r="H184" s="124"/>
      <c r="I184" s="130"/>
      <c r="J184" s="128"/>
      <c r="K184" s="133"/>
      <c r="L184" s="124"/>
      <c r="M184" s="130"/>
      <c r="N184" s="128"/>
      <c r="O184" s="133"/>
      <c r="P184" s="124"/>
      <c r="Q184" s="130"/>
      <c r="R184" s="128"/>
      <c r="S184" s="133"/>
      <c r="T184" s="124"/>
      <c r="U184" s="130"/>
      <c r="V184" s="128"/>
    </row>
    <row r="185" spans="1:22" ht="12.75">
      <c r="A185" s="197">
        <v>177</v>
      </c>
      <c r="B185" s="35" t="s">
        <v>201</v>
      </c>
      <c r="C185" s="40">
        <f t="shared" si="31"/>
        <v>0</v>
      </c>
      <c r="D185" s="38">
        <f>H185</f>
        <v>0</v>
      </c>
      <c r="E185" s="38"/>
      <c r="F185" s="39"/>
      <c r="G185" s="51">
        <f>G186</f>
        <v>0</v>
      </c>
      <c r="H185" s="38">
        <f>H186</f>
        <v>0</v>
      </c>
      <c r="I185" s="124"/>
      <c r="J185" s="128"/>
      <c r="K185" s="133"/>
      <c r="L185" s="124"/>
      <c r="M185" s="124"/>
      <c r="N185" s="128"/>
      <c r="O185" s="133"/>
      <c r="P185" s="124"/>
      <c r="Q185" s="124"/>
      <c r="R185" s="128"/>
      <c r="S185" s="133"/>
      <c r="T185" s="124"/>
      <c r="U185" s="124"/>
      <c r="V185" s="128"/>
    </row>
    <row r="186" spans="1:22" ht="12.75">
      <c r="A186" s="197">
        <f t="shared" si="26"/>
        <v>178</v>
      </c>
      <c r="B186" s="56" t="s">
        <v>273</v>
      </c>
      <c r="C186" s="29">
        <f t="shared" si="31"/>
        <v>0</v>
      </c>
      <c r="D186" s="124">
        <f t="shared" si="31"/>
        <v>0</v>
      </c>
      <c r="E186" s="124"/>
      <c r="F186" s="125"/>
      <c r="G186" s="133">
        <f t="shared" si="29"/>
        <v>0</v>
      </c>
      <c r="H186" s="124"/>
      <c r="I186" s="124"/>
      <c r="J186" s="128"/>
      <c r="K186" s="133"/>
      <c r="L186" s="124"/>
      <c r="M186" s="124"/>
      <c r="N186" s="128"/>
      <c r="O186" s="133"/>
      <c r="P186" s="124"/>
      <c r="Q186" s="124"/>
      <c r="R186" s="128"/>
      <c r="S186" s="133"/>
      <c r="T186" s="124"/>
      <c r="U186" s="124"/>
      <c r="V186" s="128"/>
    </row>
    <row r="187" spans="1:22" ht="12.75">
      <c r="A187" s="197">
        <v>179</v>
      </c>
      <c r="B187" s="35" t="s">
        <v>42</v>
      </c>
      <c r="C187" s="40">
        <f t="shared" si="31"/>
        <v>0</v>
      </c>
      <c r="D187" s="38">
        <f t="shared" si="31"/>
        <v>0</v>
      </c>
      <c r="E187" s="38">
        <f t="shared" si="31"/>
        <v>0</v>
      </c>
      <c r="F187" s="39"/>
      <c r="G187" s="40">
        <f t="shared" si="29"/>
        <v>0</v>
      </c>
      <c r="H187" s="38"/>
      <c r="I187" s="38"/>
      <c r="J187" s="45"/>
      <c r="K187" s="40"/>
      <c r="L187" s="124"/>
      <c r="M187" s="124"/>
      <c r="N187" s="123"/>
      <c r="O187" s="126"/>
      <c r="P187" s="124"/>
      <c r="Q187" s="124"/>
      <c r="R187" s="123"/>
      <c r="S187" s="40">
        <f>T187+V187</f>
        <v>0</v>
      </c>
      <c r="T187" s="38"/>
      <c r="U187" s="38"/>
      <c r="V187" s="41"/>
    </row>
    <row r="188" spans="1:22" ht="12.75">
      <c r="A188" s="197">
        <f t="shared" si="26"/>
        <v>180</v>
      </c>
      <c r="B188" s="35" t="s">
        <v>43</v>
      </c>
      <c r="C188" s="40">
        <f t="shared" si="31"/>
        <v>0</v>
      </c>
      <c r="D188" s="38">
        <f t="shared" si="31"/>
        <v>0</v>
      </c>
      <c r="E188" s="38">
        <f t="shared" si="31"/>
        <v>0</v>
      </c>
      <c r="F188" s="39"/>
      <c r="G188" s="40">
        <f t="shared" si="29"/>
        <v>0</v>
      </c>
      <c r="H188" s="38"/>
      <c r="I188" s="38"/>
      <c r="J188" s="45"/>
      <c r="K188" s="40"/>
      <c r="L188" s="124"/>
      <c r="M188" s="124"/>
      <c r="N188" s="123"/>
      <c r="O188" s="126"/>
      <c r="P188" s="124"/>
      <c r="Q188" s="124"/>
      <c r="R188" s="123"/>
      <c r="S188" s="40"/>
      <c r="T188" s="38"/>
      <c r="U188" s="38"/>
      <c r="V188" s="41"/>
    </row>
    <row r="189" spans="1:22" ht="12.75">
      <c r="A189" s="197">
        <f t="shared" si="26"/>
        <v>181</v>
      </c>
      <c r="B189" s="35" t="s">
        <v>44</v>
      </c>
      <c r="C189" s="40">
        <f t="shared" si="31"/>
        <v>0</v>
      </c>
      <c r="D189" s="38">
        <f t="shared" si="31"/>
        <v>0</v>
      </c>
      <c r="E189" s="38">
        <f t="shared" si="31"/>
        <v>0</v>
      </c>
      <c r="F189" s="39"/>
      <c r="G189" s="40">
        <f t="shared" si="29"/>
        <v>0</v>
      </c>
      <c r="H189" s="38"/>
      <c r="I189" s="38"/>
      <c r="J189" s="41"/>
      <c r="K189" s="40"/>
      <c r="L189" s="124"/>
      <c r="M189" s="124"/>
      <c r="N189" s="123"/>
      <c r="O189" s="126"/>
      <c r="P189" s="124"/>
      <c r="Q189" s="124"/>
      <c r="R189" s="123"/>
      <c r="S189" s="40">
        <f>T189+V189</f>
        <v>0</v>
      </c>
      <c r="T189" s="38"/>
      <c r="U189" s="38"/>
      <c r="V189" s="41"/>
    </row>
    <row r="190" spans="1:22" ht="12.75">
      <c r="A190" s="197">
        <f t="shared" si="26"/>
        <v>182</v>
      </c>
      <c r="B190" s="35" t="s">
        <v>45</v>
      </c>
      <c r="C190" s="40">
        <f t="shared" si="31"/>
        <v>0</v>
      </c>
      <c r="D190" s="38">
        <f t="shared" si="31"/>
        <v>0</v>
      </c>
      <c r="E190" s="38">
        <f t="shared" si="31"/>
        <v>0</v>
      </c>
      <c r="F190" s="39"/>
      <c r="G190" s="40">
        <f t="shared" si="29"/>
        <v>0</v>
      </c>
      <c r="H190" s="38"/>
      <c r="I190" s="38"/>
      <c r="J190" s="41"/>
      <c r="K190" s="40"/>
      <c r="L190" s="124"/>
      <c r="M190" s="124"/>
      <c r="N190" s="123"/>
      <c r="O190" s="126"/>
      <c r="P190" s="124"/>
      <c r="Q190" s="124"/>
      <c r="R190" s="123"/>
      <c r="S190" s="40"/>
      <c r="T190" s="38"/>
      <c r="U190" s="38"/>
      <c r="V190" s="41"/>
    </row>
    <row r="191" spans="1:22" ht="12.75">
      <c r="A191" s="197">
        <f t="shared" si="26"/>
        <v>183</v>
      </c>
      <c r="B191" s="35" t="s">
        <v>46</v>
      </c>
      <c r="C191" s="40">
        <f t="shared" si="31"/>
        <v>0</v>
      </c>
      <c r="D191" s="38">
        <f t="shared" si="31"/>
        <v>0</v>
      </c>
      <c r="E191" s="38">
        <f t="shared" si="31"/>
        <v>0</v>
      </c>
      <c r="F191" s="39"/>
      <c r="G191" s="40">
        <f t="shared" si="29"/>
        <v>0</v>
      </c>
      <c r="H191" s="38"/>
      <c r="I191" s="38"/>
      <c r="J191" s="41"/>
      <c r="K191" s="40"/>
      <c r="L191" s="124"/>
      <c r="M191" s="124"/>
      <c r="N191" s="123"/>
      <c r="O191" s="126"/>
      <c r="P191" s="124"/>
      <c r="Q191" s="124"/>
      <c r="R191" s="123"/>
      <c r="S191" s="40"/>
      <c r="T191" s="38"/>
      <c r="U191" s="38"/>
      <c r="V191" s="41"/>
    </row>
    <row r="192" spans="1:22" ht="12.75">
      <c r="A192" s="197">
        <f t="shared" si="26"/>
        <v>184</v>
      </c>
      <c r="B192" s="35" t="s">
        <v>47</v>
      </c>
      <c r="C192" s="40">
        <f t="shared" si="31"/>
        <v>0</v>
      </c>
      <c r="D192" s="38">
        <f t="shared" si="31"/>
        <v>0</v>
      </c>
      <c r="E192" s="38">
        <f t="shared" si="31"/>
        <v>0</v>
      </c>
      <c r="F192" s="39"/>
      <c r="G192" s="40">
        <f t="shared" si="29"/>
        <v>0</v>
      </c>
      <c r="H192" s="38"/>
      <c r="I192" s="38"/>
      <c r="J192" s="41"/>
      <c r="K192" s="40"/>
      <c r="L192" s="124"/>
      <c r="M192" s="124"/>
      <c r="N192" s="123"/>
      <c r="O192" s="126"/>
      <c r="P192" s="124"/>
      <c r="Q192" s="124"/>
      <c r="R192" s="123"/>
      <c r="S192" s="40"/>
      <c r="T192" s="38"/>
      <c r="U192" s="38"/>
      <c r="V192" s="41"/>
    </row>
    <row r="193" spans="1:22" ht="12.75">
      <c r="A193" s="197">
        <f t="shared" si="26"/>
        <v>185</v>
      </c>
      <c r="B193" s="35" t="s">
        <v>48</v>
      </c>
      <c r="C193" s="40">
        <f t="shared" si="31"/>
        <v>0</v>
      </c>
      <c r="D193" s="38">
        <f t="shared" si="31"/>
        <v>0</v>
      </c>
      <c r="E193" s="38">
        <f t="shared" si="31"/>
        <v>0</v>
      </c>
      <c r="F193" s="39"/>
      <c r="G193" s="40">
        <f t="shared" si="29"/>
        <v>0</v>
      </c>
      <c r="H193" s="38"/>
      <c r="I193" s="38"/>
      <c r="J193" s="41"/>
      <c r="K193" s="40"/>
      <c r="L193" s="124"/>
      <c r="M193" s="124"/>
      <c r="N193" s="123"/>
      <c r="O193" s="126"/>
      <c r="P193" s="124"/>
      <c r="Q193" s="124"/>
      <c r="R193" s="123"/>
      <c r="S193" s="40">
        <f>T193+V193</f>
        <v>0</v>
      </c>
      <c r="T193" s="38"/>
      <c r="U193" s="38"/>
      <c r="V193" s="41"/>
    </row>
    <row r="194" spans="1:22" ht="12.75">
      <c r="A194" s="197">
        <f t="shared" si="26"/>
        <v>186</v>
      </c>
      <c r="B194" s="35" t="s">
        <v>49</v>
      </c>
      <c r="C194" s="40">
        <f t="shared" si="31"/>
        <v>0</v>
      </c>
      <c r="D194" s="38">
        <f t="shared" si="31"/>
        <v>0</v>
      </c>
      <c r="E194" s="38">
        <f t="shared" si="31"/>
        <v>0</v>
      </c>
      <c r="F194" s="39"/>
      <c r="G194" s="40">
        <f t="shared" si="29"/>
        <v>0</v>
      </c>
      <c r="H194" s="38"/>
      <c r="I194" s="38"/>
      <c r="J194" s="41"/>
      <c r="K194" s="40"/>
      <c r="L194" s="124"/>
      <c r="M194" s="124"/>
      <c r="N194" s="123"/>
      <c r="O194" s="126"/>
      <c r="P194" s="124"/>
      <c r="Q194" s="124"/>
      <c r="R194" s="123"/>
      <c r="S194" s="40"/>
      <c r="T194" s="38"/>
      <c r="U194" s="38"/>
      <c r="V194" s="41"/>
    </row>
    <row r="195" spans="1:22" ht="12.75">
      <c r="A195" s="197">
        <f t="shared" si="26"/>
        <v>187</v>
      </c>
      <c r="B195" s="35" t="s">
        <v>73</v>
      </c>
      <c r="C195" s="40">
        <f t="shared" si="31"/>
        <v>0</v>
      </c>
      <c r="D195" s="38">
        <f t="shared" si="31"/>
        <v>0</v>
      </c>
      <c r="E195" s="38">
        <f t="shared" si="31"/>
        <v>0</v>
      </c>
      <c r="F195" s="39"/>
      <c r="G195" s="40">
        <f t="shared" si="29"/>
        <v>0</v>
      </c>
      <c r="H195" s="38"/>
      <c r="I195" s="38"/>
      <c r="J195" s="41"/>
      <c r="K195" s="40"/>
      <c r="L195" s="124"/>
      <c r="M195" s="124"/>
      <c r="N195" s="123"/>
      <c r="O195" s="126"/>
      <c r="P195" s="124"/>
      <c r="Q195" s="124"/>
      <c r="R195" s="123"/>
      <c r="S195" s="40"/>
      <c r="T195" s="38"/>
      <c r="U195" s="38"/>
      <c r="V195" s="41"/>
    </row>
    <row r="196" spans="1:22" ht="13.5" thickBot="1">
      <c r="A196" s="199">
        <f t="shared" si="26"/>
        <v>188</v>
      </c>
      <c r="B196" s="35" t="s">
        <v>51</v>
      </c>
      <c r="C196" s="40">
        <f t="shared" si="31"/>
        <v>0</v>
      </c>
      <c r="D196" s="38">
        <f t="shared" si="31"/>
        <v>0</v>
      </c>
      <c r="E196" s="38">
        <f>I196+M196+Q196+U196</f>
        <v>0</v>
      </c>
      <c r="F196" s="39"/>
      <c r="G196" s="77">
        <f t="shared" si="29"/>
        <v>0</v>
      </c>
      <c r="H196" s="76"/>
      <c r="I196" s="76"/>
      <c r="J196" s="79"/>
      <c r="K196" s="40"/>
      <c r="L196" s="124"/>
      <c r="M196" s="124"/>
      <c r="N196" s="123"/>
      <c r="O196" s="126"/>
      <c r="P196" s="124"/>
      <c r="Q196" s="124"/>
      <c r="R196" s="123"/>
      <c r="S196" s="77">
        <f>T196+V196</f>
        <v>0</v>
      </c>
      <c r="T196" s="76"/>
      <c r="U196" s="76"/>
      <c r="V196" s="79"/>
    </row>
    <row r="197" spans="1:22" ht="45.75" thickBot="1">
      <c r="A197" s="101">
        <v>189</v>
      </c>
      <c r="B197" s="102" t="s">
        <v>274</v>
      </c>
      <c r="C197" s="103">
        <f t="shared" si="31"/>
        <v>0</v>
      </c>
      <c r="D197" s="89">
        <f t="shared" si="31"/>
        <v>0</v>
      </c>
      <c r="E197" s="89"/>
      <c r="F197" s="95"/>
      <c r="G197" s="103">
        <f>G198+G200+G203+G206</f>
        <v>0</v>
      </c>
      <c r="H197" s="89">
        <f>H198+H200+H203+H206</f>
        <v>0</v>
      </c>
      <c r="I197" s="89"/>
      <c r="J197" s="95"/>
      <c r="K197" s="104">
        <f>K201</f>
        <v>0</v>
      </c>
      <c r="L197" s="89">
        <f>L201</f>
        <v>0</v>
      </c>
      <c r="M197" s="89"/>
      <c r="N197" s="95"/>
      <c r="O197" s="103"/>
      <c r="P197" s="89"/>
      <c r="Q197" s="89"/>
      <c r="R197" s="95"/>
      <c r="S197" s="89"/>
      <c r="T197" s="89"/>
      <c r="U197" s="89"/>
      <c r="V197" s="95"/>
    </row>
    <row r="198" spans="1:22" ht="12.75">
      <c r="A198" s="106">
        <v>190</v>
      </c>
      <c r="B198" s="120" t="s">
        <v>198</v>
      </c>
      <c r="C198" s="115">
        <f t="shared" si="31"/>
        <v>0</v>
      </c>
      <c r="D198" s="113">
        <f t="shared" si="31"/>
        <v>0</v>
      </c>
      <c r="E198" s="113"/>
      <c r="F198" s="116"/>
      <c r="G198" s="117">
        <f>G199</f>
        <v>0</v>
      </c>
      <c r="H198" s="113">
        <f>H199</f>
        <v>0</v>
      </c>
      <c r="I198" s="147"/>
      <c r="J198" s="139"/>
      <c r="K198" s="200"/>
      <c r="L198" s="147"/>
      <c r="M198" s="147"/>
      <c r="N198" s="201"/>
      <c r="O198" s="200"/>
      <c r="P198" s="147"/>
      <c r="Q198" s="147"/>
      <c r="R198" s="201"/>
      <c r="S198" s="200"/>
      <c r="T198" s="147"/>
      <c r="U198" s="147"/>
      <c r="V198" s="201"/>
    </row>
    <row r="199" spans="1:22" ht="12.75">
      <c r="A199" s="121">
        <f t="shared" si="26"/>
        <v>191</v>
      </c>
      <c r="B199" s="56" t="s">
        <v>275</v>
      </c>
      <c r="C199" s="29">
        <f t="shared" si="31"/>
        <v>0</v>
      </c>
      <c r="D199" s="124">
        <f t="shared" si="31"/>
        <v>0</v>
      </c>
      <c r="E199" s="124"/>
      <c r="F199" s="123"/>
      <c r="G199" s="130">
        <f t="shared" si="29"/>
        <v>0</v>
      </c>
      <c r="H199" s="125"/>
      <c r="I199" s="124"/>
      <c r="J199" s="125"/>
      <c r="K199" s="126"/>
      <c r="L199" s="124"/>
      <c r="M199" s="124"/>
      <c r="N199" s="123"/>
      <c r="O199" s="126"/>
      <c r="P199" s="124"/>
      <c r="Q199" s="124"/>
      <c r="R199" s="123"/>
      <c r="S199" s="126"/>
      <c r="T199" s="124"/>
      <c r="U199" s="124"/>
      <c r="V199" s="123"/>
    </row>
    <row r="200" spans="1:22" ht="12.75">
      <c r="A200" s="121">
        <f t="shared" si="26"/>
        <v>192</v>
      </c>
      <c r="B200" s="35" t="s">
        <v>276</v>
      </c>
      <c r="C200" s="40">
        <f t="shared" si="31"/>
        <v>0</v>
      </c>
      <c r="D200" s="38">
        <f t="shared" si="31"/>
        <v>0</v>
      </c>
      <c r="E200" s="38"/>
      <c r="F200" s="41"/>
      <c r="G200" s="127">
        <f>G202</f>
        <v>0</v>
      </c>
      <c r="H200" s="38">
        <f>H202</f>
        <v>0</v>
      </c>
      <c r="I200" s="124"/>
      <c r="J200" s="125"/>
      <c r="K200" s="51">
        <f>K201</f>
        <v>0</v>
      </c>
      <c r="L200" s="38">
        <f>L201</f>
        <v>0</v>
      </c>
      <c r="M200" s="124"/>
      <c r="N200" s="123"/>
      <c r="O200" s="126"/>
      <c r="P200" s="124"/>
      <c r="Q200" s="124"/>
      <c r="R200" s="123"/>
      <c r="S200" s="126"/>
      <c r="T200" s="124"/>
      <c r="U200" s="124"/>
      <c r="V200" s="123"/>
    </row>
    <row r="201" spans="1:22" ht="12.75">
      <c r="A201" s="121">
        <f t="shared" si="26"/>
        <v>193</v>
      </c>
      <c r="B201" s="56" t="s">
        <v>277</v>
      </c>
      <c r="C201" s="29">
        <f t="shared" si="31"/>
        <v>0</v>
      </c>
      <c r="D201" s="32">
        <f t="shared" si="31"/>
        <v>0</v>
      </c>
      <c r="E201" s="38"/>
      <c r="F201" s="41"/>
      <c r="G201" s="36"/>
      <c r="H201" s="127"/>
      <c r="I201" s="124"/>
      <c r="J201" s="125"/>
      <c r="K201" s="126">
        <f>L201+N201</f>
        <v>0</v>
      </c>
      <c r="L201" s="124"/>
      <c r="M201" s="124"/>
      <c r="N201" s="123"/>
      <c r="O201" s="126"/>
      <c r="P201" s="124"/>
      <c r="Q201" s="124"/>
      <c r="R201" s="123"/>
      <c r="S201" s="126"/>
      <c r="T201" s="124"/>
      <c r="U201" s="124"/>
      <c r="V201" s="123"/>
    </row>
    <row r="202" spans="1:22" ht="12.75">
      <c r="A202" s="121">
        <f t="shared" si="26"/>
        <v>194</v>
      </c>
      <c r="B202" s="56" t="s">
        <v>278</v>
      </c>
      <c r="C202" s="29">
        <f t="shared" si="31"/>
        <v>0</v>
      </c>
      <c r="D202" s="124">
        <f t="shared" si="31"/>
        <v>0</v>
      </c>
      <c r="E202" s="124"/>
      <c r="F202" s="123"/>
      <c r="G202" s="130">
        <f t="shared" si="29"/>
        <v>0</v>
      </c>
      <c r="H202" s="125"/>
      <c r="I202" s="124"/>
      <c r="J202" s="125"/>
      <c r="K202" s="126"/>
      <c r="L202" s="124"/>
      <c r="M202" s="124"/>
      <c r="N202" s="123"/>
      <c r="O202" s="126"/>
      <c r="P202" s="124"/>
      <c r="Q202" s="124"/>
      <c r="R202" s="123"/>
      <c r="S202" s="126"/>
      <c r="T202" s="124"/>
      <c r="U202" s="124"/>
      <c r="V202" s="123"/>
    </row>
    <row r="203" spans="1:22" ht="12.75">
      <c r="A203" s="121">
        <v>195</v>
      </c>
      <c r="B203" s="35" t="s">
        <v>201</v>
      </c>
      <c r="C203" s="40">
        <f t="shared" si="31"/>
        <v>0</v>
      </c>
      <c r="D203" s="38">
        <f t="shared" si="31"/>
        <v>0</v>
      </c>
      <c r="E203" s="38"/>
      <c r="F203" s="41"/>
      <c r="G203" s="127">
        <f t="shared" si="29"/>
        <v>0</v>
      </c>
      <c r="H203" s="38">
        <f>H204+H205</f>
        <v>0</v>
      </c>
      <c r="I203" s="124"/>
      <c r="J203" s="125"/>
      <c r="K203" s="126"/>
      <c r="L203" s="124"/>
      <c r="M203" s="124"/>
      <c r="N203" s="123"/>
      <c r="O203" s="126"/>
      <c r="P203" s="124"/>
      <c r="Q203" s="124"/>
      <c r="R203" s="123"/>
      <c r="S203" s="51"/>
      <c r="T203" s="38"/>
      <c r="U203" s="124"/>
      <c r="V203" s="123"/>
    </row>
    <row r="204" spans="1:22" ht="25.5">
      <c r="A204" s="121">
        <f t="shared" si="26"/>
        <v>196</v>
      </c>
      <c r="B204" s="134" t="s">
        <v>279</v>
      </c>
      <c r="C204" s="29">
        <f t="shared" si="31"/>
        <v>0</v>
      </c>
      <c r="D204" s="32">
        <f t="shared" si="31"/>
        <v>0</v>
      </c>
      <c r="E204" s="66"/>
      <c r="F204" s="67"/>
      <c r="G204" s="27">
        <f t="shared" si="29"/>
        <v>0</v>
      </c>
      <c r="H204" s="202"/>
      <c r="I204" s="171"/>
      <c r="J204" s="190"/>
      <c r="K204" s="170"/>
      <c r="L204" s="171"/>
      <c r="M204" s="171"/>
      <c r="N204" s="172"/>
      <c r="O204" s="170"/>
      <c r="P204" s="171"/>
      <c r="Q204" s="171"/>
      <c r="R204" s="172"/>
      <c r="S204" s="170"/>
      <c r="T204" s="171"/>
      <c r="U204" s="171"/>
      <c r="V204" s="172"/>
    </row>
    <row r="205" spans="1:22" ht="12.75">
      <c r="A205" s="121">
        <f t="shared" si="26"/>
        <v>197</v>
      </c>
      <c r="B205" s="35" t="s">
        <v>280</v>
      </c>
      <c r="C205" s="29">
        <f t="shared" si="31"/>
        <v>0</v>
      </c>
      <c r="D205" s="32">
        <f t="shared" si="31"/>
        <v>0</v>
      </c>
      <c r="E205" s="60"/>
      <c r="F205" s="63"/>
      <c r="G205" s="130">
        <f t="shared" si="29"/>
        <v>0</v>
      </c>
      <c r="H205" s="66"/>
      <c r="I205" s="171"/>
      <c r="J205" s="190"/>
      <c r="K205" s="170"/>
      <c r="L205" s="171"/>
      <c r="M205" s="171"/>
      <c r="N205" s="172"/>
      <c r="O205" s="170"/>
      <c r="P205" s="171"/>
      <c r="Q205" s="171"/>
      <c r="R205" s="172"/>
      <c r="S205" s="32"/>
      <c r="T205" s="171"/>
      <c r="U205" s="171"/>
      <c r="V205" s="172"/>
    </row>
    <row r="206" spans="1:22" ht="12.75">
      <c r="A206" s="121">
        <v>198</v>
      </c>
      <c r="B206" s="35" t="s">
        <v>83</v>
      </c>
      <c r="C206" s="40">
        <f t="shared" si="31"/>
        <v>0</v>
      </c>
      <c r="D206" s="38">
        <f t="shared" si="31"/>
        <v>0</v>
      </c>
      <c r="E206" s="60"/>
      <c r="F206" s="63"/>
      <c r="G206" s="36">
        <f t="shared" si="29"/>
        <v>0</v>
      </c>
      <c r="H206" s="60">
        <f>H207</f>
        <v>0</v>
      </c>
      <c r="I206" s="171"/>
      <c r="J206" s="203"/>
      <c r="K206" s="204"/>
      <c r="L206" s="171"/>
      <c r="M206" s="171"/>
      <c r="N206" s="205"/>
      <c r="O206" s="170"/>
      <c r="P206" s="171"/>
      <c r="Q206" s="171"/>
      <c r="R206" s="205"/>
      <c r="S206" s="204"/>
      <c r="T206" s="171"/>
      <c r="U206" s="171"/>
      <c r="V206" s="205"/>
    </row>
    <row r="207" spans="1:22" ht="13.5" thickBot="1">
      <c r="A207" s="150">
        <v>199</v>
      </c>
      <c r="B207" s="166" t="s">
        <v>281</v>
      </c>
      <c r="C207" s="65">
        <f t="shared" si="31"/>
        <v>0</v>
      </c>
      <c r="D207" s="66">
        <f t="shared" si="31"/>
        <v>0</v>
      </c>
      <c r="E207" s="60"/>
      <c r="F207" s="63"/>
      <c r="G207" s="189">
        <f t="shared" si="29"/>
        <v>0</v>
      </c>
      <c r="H207" s="66"/>
      <c r="I207" s="171"/>
      <c r="J207" s="203"/>
      <c r="K207" s="204"/>
      <c r="L207" s="171"/>
      <c r="M207" s="171"/>
      <c r="N207" s="205"/>
      <c r="O207" s="170"/>
      <c r="P207" s="171"/>
      <c r="Q207" s="171"/>
      <c r="R207" s="205"/>
      <c r="S207" s="204"/>
      <c r="T207" s="171"/>
      <c r="U207" s="171"/>
      <c r="V207" s="205"/>
    </row>
    <row r="208" spans="1:22" ht="13.5" thickBot="1">
      <c r="A208" s="101">
        <v>200</v>
      </c>
      <c r="B208" s="206" t="s">
        <v>282</v>
      </c>
      <c r="C208" s="156">
        <f t="shared" si="31"/>
        <v>12693.383999999998</v>
      </c>
      <c r="D208" s="157">
        <f t="shared" si="31"/>
        <v>12681.564999999999</v>
      </c>
      <c r="E208" s="89">
        <f>I208+M208+Q208+U208</f>
        <v>8236.387999999997</v>
      </c>
      <c r="F208" s="91">
        <f>J208+N208+R208+V208</f>
        <v>11.819</v>
      </c>
      <c r="G208" s="157">
        <f>G9+G44+G99+G140+G175+G197</f>
        <v>5817.796</v>
      </c>
      <c r="H208" s="157">
        <f>H9+H44+H99+H140+H175+H197</f>
        <v>5807.977000000001</v>
      </c>
      <c r="I208" s="89">
        <f>I9+I44+I99+I140+I175+I197</f>
        <v>3611.0589999999993</v>
      </c>
      <c r="J208" s="157">
        <f>J9+J44+J99+J140+J175+J197</f>
        <v>9.819</v>
      </c>
      <c r="K208" s="94">
        <f>K9+K44+K99+K140+K175+K197</f>
        <v>239.86199999999997</v>
      </c>
      <c r="L208" s="89">
        <f>L9+L44+L140+L175+L197</f>
        <v>239.86199999999997</v>
      </c>
      <c r="M208" s="89">
        <f>M9+M44+M140+M175+M197</f>
        <v>82.593</v>
      </c>
      <c r="N208" s="105">
        <f>N9+N44+N99+N140+N175+N197</f>
        <v>0</v>
      </c>
      <c r="O208" s="103">
        <f>O9+O44+O99+O140+O175+O197</f>
        <v>6048.399999999998</v>
      </c>
      <c r="P208" s="89">
        <f>P9+P44+P99+P140+P175+P197</f>
        <v>6048.399999999998</v>
      </c>
      <c r="Q208" s="89">
        <f>Q9+Q44+Q99+Q140+Q175+Q197</f>
        <v>4518.932999999998</v>
      </c>
      <c r="R208" s="89"/>
      <c r="S208" s="96">
        <f>S9+S44+S99+S140+S175+S197</f>
        <v>587.326</v>
      </c>
      <c r="T208" s="157">
        <f>T9+T44+T99+T140+T175+T197</f>
        <v>585.326</v>
      </c>
      <c r="U208" s="157">
        <f>U9+U44+U99+U140+U175+U197</f>
        <v>23.803000000000004</v>
      </c>
      <c r="V208" s="95">
        <f>V9+V20+SUM(V34:V43)+V44+V99+V140+V175+V197</f>
        <v>2</v>
      </c>
    </row>
    <row r="211" ht="12.75">
      <c r="B211" s="6" t="s">
        <v>181</v>
      </c>
    </row>
    <row r="212" ht="12.75">
      <c r="B212" s="6" t="s">
        <v>287</v>
      </c>
    </row>
    <row r="213" ht="12.75">
      <c r="B213" s="97" t="s">
        <v>283</v>
      </c>
    </row>
    <row r="214" ht="12.75">
      <c r="B214" s="6" t="s">
        <v>182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0" customWidth="1"/>
    <col min="2" max="2" width="44.57421875" style="0" customWidth="1"/>
    <col min="3" max="3" width="12.140625" style="0" customWidth="1"/>
    <col min="4" max="4" width="12.00390625" style="0" customWidth="1"/>
    <col min="5" max="5" width="10.421875" style="0" customWidth="1"/>
    <col min="6" max="6" width="9.57421875" style="0" bestFit="1" customWidth="1"/>
    <col min="7" max="7" width="9.28125" style="0" customWidth="1"/>
    <col min="8" max="8" width="9.421875" style="0" customWidth="1"/>
    <col min="9" max="9" width="11.00390625" style="0" customWidth="1"/>
    <col min="10" max="10" width="9.28125" style="0" bestFit="1" customWidth="1"/>
    <col min="11" max="12" width="10.7109375" style="0" bestFit="1" customWidth="1"/>
    <col min="14" max="14" width="9.57421875" style="0" bestFit="1" customWidth="1"/>
    <col min="18" max="18" width="8.00390625" style="0" customWidth="1"/>
    <col min="22" max="22" width="8.00390625" style="0" customWidth="1"/>
  </cols>
  <sheetData>
    <row r="3" spans="1:22" ht="12.75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7" t="s">
        <v>70</v>
      </c>
      <c r="S3" s="546"/>
      <c r="T3" s="546"/>
      <c r="U3" s="546"/>
      <c r="V3" s="546"/>
    </row>
    <row r="4" spans="1:22" ht="12.75">
      <c r="A4" s="546"/>
      <c r="B4" s="546"/>
      <c r="C4" s="1058" t="s">
        <v>359</v>
      </c>
      <c r="D4" s="1058"/>
      <c r="E4" s="1058"/>
      <c r="F4" s="1058"/>
      <c r="G4" s="1058"/>
      <c r="H4" s="1058"/>
      <c r="I4" s="1058"/>
      <c r="J4" s="1058"/>
      <c r="K4" s="546"/>
      <c r="L4" s="546"/>
      <c r="M4" s="546"/>
      <c r="N4" s="546"/>
      <c r="O4" s="546"/>
      <c r="P4" s="547"/>
      <c r="Q4" s="546"/>
      <c r="R4" s="547" t="s">
        <v>364</v>
      </c>
      <c r="S4" s="548"/>
      <c r="T4" s="548"/>
      <c r="U4" s="549"/>
      <c r="V4" s="549"/>
    </row>
    <row r="5" spans="1:22" ht="12.75">
      <c r="A5" s="546"/>
      <c r="B5" s="550"/>
      <c r="C5" s="1058" t="s">
        <v>183</v>
      </c>
      <c r="D5" s="1058"/>
      <c r="E5" s="1058"/>
      <c r="F5" s="1058"/>
      <c r="G5" s="1058"/>
      <c r="H5" s="1058"/>
      <c r="I5" s="1058"/>
      <c r="J5" s="546"/>
      <c r="K5" s="546"/>
      <c r="L5" s="546"/>
      <c r="M5" s="546"/>
      <c r="N5" s="546"/>
      <c r="O5" s="546"/>
      <c r="P5" s="547"/>
      <c r="Q5" s="548"/>
      <c r="R5" s="547" t="s">
        <v>184</v>
      </c>
      <c r="S5" s="546"/>
      <c r="T5" s="546"/>
      <c r="U5" s="546"/>
      <c r="V5" s="546"/>
    </row>
    <row r="6" spans="1:22" ht="13.5" thickBot="1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7"/>
      <c r="Q6" s="546"/>
      <c r="R6" s="546"/>
      <c r="S6" s="546"/>
      <c r="T6" s="551" t="s">
        <v>185</v>
      </c>
      <c r="U6" s="546"/>
      <c r="V6" s="546"/>
    </row>
    <row r="7" spans="1:22" ht="12.75">
      <c r="A7" s="1061"/>
      <c r="B7" s="1063" t="s">
        <v>93</v>
      </c>
      <c r="C7" s="1065" t="s">
        <v>94</v>
      </c>
      <c r="D7" s="1049" t="s">
        <v>95</v>
      </c>
      <c r="E7" s="1050"/>
      <c r="F7" s="1051"/>
      <c r="G7" s="1065" t="s">
        <v>96</v>
      </c>
      <c r="H7" s="1049" t="s">
        <v>95</v>
      </c>
      <c r="I7" s="1050"/>
      <c r="J7" s="1050"/>
      <c r="K7" s="1056" t="s">
        <v>286</v>
      </c>
      <c r="L7" s="1049" t="s">
        <v>95</v>
      </c>
      <c r="M7" s="1050"/>
      <c r="N7" s="1051"/>
      <c r="O7" s="1056" t="s">
        <v>302</v>
      </c>
      <c r="P7" s="1049" t="s">
        <v>95</v>
      </c>
      <c r="Q7" s="1050"/>
      <c r="R7" s="1051"/>
      <c r="S7" s="1056" t="s">
        <v>98</v>
      </c>
      <c r="T7" s="1049" t="s">
        <v>95</v>
      </c>
      <c r="U7" s="1050"/>
      <c r="V7" s="1051"/>
    </row>
    <row r="8" spans="1:22" ht="12.75">
      <c r="A8" s="1062"/>
      <c r="B8" s="1064"/>
      <c r="C8" s="1066"/>
      <c r="D8" s="1052" t="s">
        <v>99</v>
      </c>
      <c r="E8" s="1053"/>
      <c r="F8" s="1054" t="s">
        <v>100</v>
      </c>
      <c r="G8" s="1066"/>
      <c r="H8" s="1052" t="s">
        <v>99</v>
      </c>
      <c r="I8" s="1053"/>
      <c r="J8" s="1059" t="s">
        <v>100</v>
      </c>
      <c r="K8" s="1057"/>
      <c r="L8" s="1052" t="s">
        <v>99</v>
      </c>
      <c r="M8" s="1053"/>
      <c r="N8" s="1054" t="s">
        <v>100</v>
      </c>
      <c r="O8" s="1057"/>
      <c r="P8" s="1052" t="s">
        <v>99</v>
      </c>
      <c r="Q8" s="1053"/>
      <c r="R8" s="1054" t="s">
        <v>100</v>
      </c>
      <c r="S8" s="1057"/>
      <c r="T8" s="1052" t="s">
        <v>99</v>
      </c>
      <c r="U8" s="1053"/>
      <c r="V8" s="1054" t="s">
        <v>100</v>
      </c>
    </row>
    <row r="9" spans="1:22" ht="48.75" thickBot="1">
      <c r="A9" s="1062"/>
      <c r="B9" s="1064"/>
      <c r="C9" s="1066"/>
      <c r="D9" s="552" t="s">
        <v>94</v>
      </c>
      <c r="E9" s="553" t="s">
        <v>101</v>
      </c>
      <c r="F9" s="1055"/>
      <c r="G9" s="1066"/>
      <c r="H9" s="552" t="s">
        <v>94</v>
      </c>
      <c r="I9" s="553" t="s">
        <v>101</v>
      </c>
      <c r="J9" s="1060"/>
      <c r="K9" s="1057"/>
      <c r="L9" s="552" t="s">
        <v>94</v>
      </c>
      <c r="M9" s="553" t="s">
        <v>101</v>
      </c>
      <c r="N9" s="1055"/>
      <c r="O9" s="1057"/>
      <c r="P9" s="552" t="s">
        <v>94</v>
      </c>
      <c r="Q9" s="553" t="s">
        <v>101</v>
      </c>
      <c r="R9" s="1055"/>
      <c r="S9" s="1057"/>
      <c r="T9" s="552" t="s">
        <v>94</v>
      </c>
      <c r="U9" s="553" t="s">
        <v>101</v>
      </c>
      <c r="V9" s="1055"/>
    </row>
    <row r="10" spans="1:22" ht="34.5" customHeight="1" thickBot="1">
      <c r="A10" s="644">
        <v>1</v>
      </c>
      <c r="B10" s="650" t="s">
        <v>186</v>
      </c>
      <c r="C10" s="554">
        <f>G10+K10+O10+S10</f>
        <v>4767.823</v>
      </c>
      <c r="D10" s="555">
        <f>H10+L10+P10+T10</f>
        <v>4657.823</v>
      </c>
      <c r="E10" s="555">
        <f>I10+M10+Q10+U10</f>
        <v>3844.481</v>
      </c>
      <c r="F10" s="554">
        <f>J10+N10+R10+V10</f>
        <v>110</v>
      </c>
      <c r="G10" s="556">
        <f>G14+G20+G21+G23+G28+G31+SUM(G37:G48)+G26+G11-G38+G34</f>
        <v>3389.821</v>
      </c>
      <c r="H10" s="557">
        <f>H14+H20+H21+H23+H28+H31+SUM(H37:H48)+H26+H11-H38+H34</f>
        <v>3279.821</v>
      </c>
      <c r="I10" s="558">
        <f>I14+I20+I21+I23+I28+I31+SUM(I37:I48)+I26+I11</f>
        <v>2616.4770000000003</v>
      </c>
      <c r="J10" s="559">
        <f>J14+J20+J21+J23+J28+J31+J37</f>
        <v>110</v>
      </c>
      <c r="K10" s="554">
        <f>K14+K20+K21+K23+K28+K31+SUM(K37:K48)+K26+K11</f>
        <v>1340.8839999999998</v>
      </c>
      <c r="L10" s="555">
        <f>L14+L20+L21+L23+L28+L31+SUM(L37:L48)+L26+L11</f>
        <v>1340.8839999999998</v>
      </c>
      <c r="M10" s="560">
        <f>M14+M20+M21+M23+M28+M31+SUM(M37:M48)+M26+M11</f>
        <v>1228.004</v>
      </c>
      <c r="N10" s="605"/>
      <c r="O10" s="704"/>
      <c r="P10" s="705"/>
      <c r="Q10" s="705"/>
      <c r="R10" s="706"/>
      <c r="S10" s="704">
        <f>S14+S20+S21+S23+S28+S31+SUM(S37:S48)+S26+S11</f>
        <v>37.117999999999995</v>
      </c>
      <c r="T10" s="705">
        <f>T23+SUM(T39:T48)</f>
        <v>37.117999999999995</v>
      </c>
      <c r="U10" s="705"/>
      <c r="V10" s="706"/>
    </row>
    <row r="11" spans="1:22" ht="15.75" customHeight="1">
      <c r="A11" s="615">
        <v>2</v>
      </c>
      <c r="B11" s="651" t="s">
        <v>102</v>
      </c>
      <c r="C11" s="561">
        <f aca="true" t="shared" si="0" ref="C11:E26">G11+K11+O11+S11</f>
        <v>148.115</v>
      </c>
      <c r="D11" s="561">
        <f t="shared" si="0"/>
        <v>148.115</v>
      </c>
      <c r="E11" s="561">
        <f t="shared" si="0"/>
        <v>86.85</v>
      </c>
      <c r="F11" s="562"/>
      <c r="G11" s="672">
        <f>G12+G13</f>
        <v>148.115</v>
      </c>
      <c r="H11" s="563">
        <f>H12+H13</f>
        <v>148.115</v>
      </c>
      <c r="I11" s="563">
        <f>I12+I13</f>
        <v>86.85</v>
      </c>
      <c r="J11" s="673"/>
      <c r="K11" s="561"/>
      <c r="L11" s="564"/>
      <c r="M11" s="564"/>
      <c r="N11" s="565"/>
      <c r="O11" s="675"/>
      <c r="P11" s="564"/>
      <c r="Q11" s="564"/>
      <c r="R11" s="674"/>
      <c r="S11" s="675"/>
      <c r="T11" s="564"/>
      <c r="U11" s="564"/>
      <c r="V11" s="674"/>
    </row>
    <row r="12" spans="1:22" ht="12.75" customHeight="1">
      <c r="A12" s="615">
        <v>3</v>
      </c>
      <c r="B12" s="652" t="s">
        <v>103</v>
      </c>
      <c r="C12" s="566">
        <f t="shared" si="0"/>
        <v>89.248</v>
      </c>
      <c r="D12" s="566">
        <f t="shared" si="0"/>
        <v>89.248</v>
      </c>
      <c r="E12" s="566">
        <f t="shared" si="0"/>
        <v>80.515</v>
      </c>
      <c r="F12" s="567"/>
      <c r="G12" s="631">
        <f>H12+J12</f>
        <v>89.248</v>
      </c>
      <c r="H12" s="568">
        <f>87.748+1.5</f>
        <v>89.248</v>
      </c>
      <c r="I12" s="568">
        <f>79.037+1.478</f>
        <v>80.515</v>
      </c>
      <c r="J12" s="674"/>
      <c r="K12" s="569"/>
      <c r="L12" s="564"/>
      <c r="M12" s="564"/>
      <c r="N12" s="569"/>
      <c r="O12" s="699"/>
      <c r="P12" s="564"/>
      <c r="Q12" s="564"/>
      <c r="R12" s="695"/>
      <c r="S12" s="699"/>
      <c r="T12" s="564"/>
      <c r="U12" s="564"/>
      <c r="V12" s="695"/>
    </row>
    <row r="13" spans="1:22" ht="12.75">
      <c r="A13" s="615">
        <v>4</v>
      </c>
      <c r="B13" s="641" t="s">
        <v>104</v>
      </c>
      <c r="C13" s="566">
        <f t="shared" si="0"/>
        <v>58.867</v>
      </c>
      <c r="D13" s="566">
        <f t="shared" si="0"/>
        <v>58.867</v>
      </c>
      <c r="E13" s="570">
        <f t="shared" si="0"/>
        <v>6.335</v>
      </c>
      <c r="F13" s="567"/>
      <c r="G13" s="631">
        <f>H13+J13</f>
        <v>58.867</v>
      </c>
      <c r="H13" s="571">
        <v>58.867</v>
      </c>
      <c r="I13" s="568">
        <v>6.335</v>
      </c>
      <c r="J13" s="674"/>
      <c r="K13" s="569"/>
      <c r="L13" s="564"/>
      <c r="M13" s="564"/>
      <c r="N13" s="569"/>
      <c r="O13" s="699"/>
      <c r="P13" s="564"/>
      <c r="Q13" s="564"/>
      <c r="R13" s="695"/>
      <c r="S13" s="699"/>
      <c r="T13" s="564"/>
      <c r="U13" s="564"/>
      <c r="V13" s="695"/>
    </row>
    <row r="14" spans="1:22" ht="12.75">
      <c r="A14" s="615">
        <v>5</v>
      </c>
      <c r="B14" s="653" t="s">
        <v>187</v>
      </c>
      <c r="C14" s="561">
        <f t="shared" si="0"/>
        <v>2291.98</v>
      </c>
      <c r="D14" s="564">
        <f>SUM(D15:D18)</f>
        <v>2249.98</v>
      </c>
      <c r="E14" s="564">
        <f>SUM(E15:E18)</f>
        <v>1964.0230000000001</v>
      </c>
      <c r="F14" s="565">
        <f>SUM(F15:F18)</f>
        <v>30</v>
      </c>
      <c r="G14" s="675">
        <f>SUM(G15:G19)</f>
        <v>2012.4959999999999</v>
      </c>
      <c r="H14" s="564">
        <f>SUM(H15:H19)</f>
        <v>1982.4959999999999</v>
      </c>
      <c r="I14" s="564">
        <f>SUM(I15:I18)</f>
        <v>1714.3310000000001</v>
      </c>
      <c r="J14" s="674">
        <f>SUM(J15:J18)</f>
        <v>30</v>
      </c>
      <c r="K14" s="569">
        <f>K15+K17+K18</f>
        <v>279.484</v>
      </c>
      <c r="L14" s="572">
        <f>L15+L17+L18</f>
        <v>279.484</v>
      </c>
      <c r="M14" s="572">
        <f>M15+M17+M18</f>
        <v>249.692</v>
      </c>
      <c r="N14" s="569"/>
      <c r="O14" s="699"/>
      <c r="P14" s="564"/>
      <c r="Q14" s="564"/>
      <c r="R14" s="695"/>
      <c r="S14" s="699"/>
      <c r="T14" s="564"/>
      <c r="U14" s="564"/>
      <c r="V14" s="695"/>
    </row>
    <row r="15" spans="1:22" ht="12.75">
      <c r="A15" s="618">
        <v>6</v>
      </c>
      <c r="B15" s="641" t="s">
        <v>71</v>
      </c>
      <c r="C15" s="566">
        <f t="shared" si="0"/>
        <v>2178.98</v>
      </c>
      <c r="D15" s="570">
        <f>H15+L15+P15+T15</f>
        <v>2168.98</v>
      </c>
      <c r="E15" s="570">
        <f>I15+M15+Q15+U15</f>
        <v>1964.0230000000001</v>
      </c>
      <c r="F15" s="570">
        <f>J15+N15+R15+V15</f>
        <v>10</v>
      </c>
      <c r="G15" s="631">
        <f aca="true" t="shared" si="1" ref="G15:G20">H15+J15</f>
        <v>1899.4959999999999</v>
      </c>
      <c r="H15" s="570">
        <f>1993.944-78.448-26</f>
        <v>1889.4959999999999</v>
      </c>
      <c r="I15" s="573">
        <f>1795.958-77.327-4.3</f>
        <v>1714.3310000000001</v>
      </c>
      <c r="J15" s="627">
        <v>10</v>
      </c>
      <c r="K15" s="566">
        <f>L15+N15</f>
        <v>279.484</v>
      </c>
      <c r="L15" s="573">
        <v>279.484</v>
      </c>
      <c r="M15" s="573">
        <v>249.692</v>
      </c>
      <c r="N15" s="574"/>
      <c r="O15" s="626"/>
      <c r="P15" s="573"/>
      <c r="Q15" s="573"/>
      <c r="R15" s="627"/>
      <c r="S15" s="631"/>
      <c r="T15" s="573"/>
      <c r="U15" s="573"/>
      <c r="V15" s="627"/>
    </row>
    <row r="16" spans="1:22" ht="12.75">
      <c r="A16" s="618">
        <v>7</v>
      </c>
      <c r="B16" s="575" t="s">
        <v>294</v>
      </c>
      <c r="C16" s="566">
        <f t="shared" si="0"/>
        <v>20</v>
      </c>
      <c r="D16" s="570"/>
      <c r="E16" s="570"/>
      <c r="F16" s="588">
        <f>J16+N16+R16+V16</f>
        <v>20</v>
      </c>
      <c r="G16" s="631">
        <f t="shared" si="1"/>
        <v>20</v>
      </c>
      <c r="H16" s="570"/>
      <c r="I16" s="573"/>
      <c r="J16" s="627">
        <v>20</v>
      </c>
      <c r="K16" s="566"/>
      <c r="L16" s="573"/>
      <c r="M16" s="573"/>
      <c r="N16" s="574"/>
      <c r="O16" s="626"/>
      <c r="P16" s="573"/>
      <c r="Q16" s="573"/>
      <c r="R16" s="627"/>
      <c r="S16" s="631"/>
      <c r="T16" s="573"/>
      <c r="U16" s="573"/>
      <c r="V16" s="627"/>
    </row>
    <row r="17" spans="1:22" ht="12.75">
      <c r="A17" s="618">
        <v>8</v>
      </c>
      <c r="B17" s="641" t="s">
        <v>107</v>
      </c>
      <c r="C17" s="566">
        <f t="shared" si="0"/>
        <v>1</v>
      </c>
      <c r="D17" s="573">
        <f t="shared" si="0"/>
        <v>1</v>
      </c>
      <c r="E17" s="573"/>
      <c r="F17" s="565"/>
      <c r="G17" s="631">
        <f t="shared" si="1"/>
        <v>1</v>
      </c>
      <c r="H17" s="573">
        <v>1</v>
      </c>
      <c r="I17" s="573"/>
      <c r="J17" s="627"/>
      <c r="K17" s="576"/>
      <c r="L17" s="573"/>
      <c r="M17" s="573"/>
      <c r="N17" s="574"/>
      <c r="O17" s="626"/>
      <c r="P17" s="573"/>
      <c r="Q17" s="573"/>
      <c r="R17" s="627"/>
      <c r="S17" s="626"/>
      <c r="T17" s="573"/>
      <c r="U17" s="573"/>
      <c r="V17" s="627"/>
    </row>
    <row r="18" spans="1:22" ht="12.75">
      <c r="A18" s="618">
        <v>9</v>
      </c>
      <c r="B18" s="641" t="s">
        <v>106</v>
      </c>
      <c r="C18" s="566">
        <f t="shared" si="0"/>
        <v>80</v>
      </c>
      <c r="D18" s="573">
        <f t="shared" si="0"/>
        <v>80</v>
      </c>
      <c r="E18" s="573"/>
      <c r="F18" s="565"/>
      <c r="G18" s="631">
        <f t="shared" si="1"/>
        <v>80</v>
      </c>
      <c r="H18" s="573">
        <v>80</v>
      </c>
      <c r="I18" s="573"/>
      <c r="J18" s="627"/>
      <c r="K18" s="576"/>
      <c r="L18" s="573"/>
      <c r="M18" s="573"/>
      <c r="N18" s="574"/>
      <c r="O18" s="626"/>
      <c r="P18" s="573"/>
      <c r="Q18" s="573"/>
      <c r="R18" s="627"/>
      <c r="S18" s="626"/>
      <c r="T18" s="573"/>
      <c r="U18" s="573"/>
      <c r="V18" s="627"/>
    </row>
    <row r="19" spans="1:22" ht="12.75">
      <c r="A19" s="618">
        <v>10</v>
      </c>
      <c r="B19" s="641" t="s">
        <v>366</v>
      </c>
      <c r="C19" s="566">
        <f t="shared" si="0"/>
        <v>12</v>
      </c>
      <c r="D19" s="573">
        <f t="shared" si="0"/>
        <v>12</v>
      </c>
      <c r="E19" s="573"/>
      <c r="F19" s="565"/>
      <c r="G19" s="631">
        <f t="shared" si="1"/>
        <v>12</v>
      </c>
      <c r="H19" s="573">
        <v>12</v>
      </c>
      <c r="I19" s="573"/>
      <c r="J19" s="627"/>
      <c r="K19" s="576"/>
      <c r="L19" s="573"/>
      <c r="M19" s="573"/>
      <c r="N19" s="574"/>
      <c r="O19" s="626"/>
      <c r="P19" s="573"/>
      <c r="Q19" s="573"/>
      <c r="R19" s="627"/>
      <c r="S19" s="626"/>
      <c r="T19" s="573"/>
      <c r="U19" s="573"/>
      <c r="V19" s="627"/>
    </row>
    <row r="20" spans="1:22" ht="12.75">
      <c r="A20" s="618">
        <v>11</v>
      </c>
      <c r="B20" s="642" t="s">
        <v>191</v>
      </c>
      <c r="C20" s="576">
        <f t="shared" si="0"/>
        <v>81.846</v>
      </c>
      <c r="D20" s="572">
        <f t="shared" si="0"/>
        <v>81.846</v>
      </c>
      <c r="E20" s="572">
        <f>I20+M20+Q20+U20</f>
        <v>79.354</v>
      </c>
      <c r="F20" s="574"/>
      <c r="G20" s="629">
        <f t="shared" si="1"/>
        <v>81.846</v>
      </c>
      <c r="H20" s="577">
        <f>82.046-0.2</f>
        <v>81.846</v>
      </c>
      <c r="I20" s="572">
        <f>79.454-0.1</f>
        <v>79.354</v>
      </c>
      <c r="J20" s="627"/>
      <c r="K20" s="576"/>
      <c r="L20" s="573"/>
      <c r="M20" s="573"/>
      <c r="N20" s="574"/>
      <c r="O20" s="626"/>
      <c r="P20" s="573"/>
      <c r="Q20" s="573"/>
      <c r="R20" s="627"/>
      <c r="S20" s="626"/>
      <c r="T20" s="573"/>
      <c r="U20" s="573"/>
      <c r="V20" s="627"/>
    </row>
    <row r="21" spans="1:22" ht="12.75">
      <c r="A21" s="618">
        <v>12</v>
      </c>
      <c r="B21" s="642" t="s">
        <v>192</v>
      </c>
      <c r="C21" s="576">
        <f t="shared" si="0"/>
        <v>5</v>
      </c>
      <c r="D21" s="572">
        <f t="shared" si="0"/>
        <v>5</v>
      </c>
      <c r="E21" s="572"/>
      <c r="F21" s="574"/>
      <c r="G21" s="628"/>
      <c r="H21" s="579"/>
      <c r="I21" s="576"/>
      <c r="J21" s="676"/>
      <c r="K21" s="580">
        <f>K22</f>
        <v>5</v>
      </c>
      <c r="L21" s="572">
        <f>L22</f>
        <v>5</v>
      </c>
      <c r="M21" s="573"/>
      <c r="N21" s="574"/>
      <c r="O21" s="626"/>
      <c r="P21" s="573"/>
      <c r="Q21" s="573"/>
      <c r="R21" s="627"/>
      <c r="S21" s="626"/>
      <c r="T21" s="573"/>
      <c r="U21" s="573"/>
      <c r="V21" s="627"/>
    </row>
    <row r="22" spans="1:22" ht="12.75">
      <c r="A22" s="618">
        <v>13</v>
      </c>
      <c r="B22" s="641" t="s">
        <v>116</v>
      </c>
      <c r="C22" s="566">
        <f t="shared" si="0"/>
        <v>5</v>
      </c>
      <c r="D22" s="570">
        <f t="shared" si="0"/>
        <v>5</v>
      </c>
      <c r="E22" s="572"/>
      <c r="F22" s="574"/>
      <c r="G22" s="631"/>
      <c r="H22" s="581"/>
      <c r="I22" s="572"/>
      <c r="J22" s="676"/>
      <c r="K22" s="582">
        <f>L22+M22+N22</f>
        <v>5</v>
      </c>
      <c r="L22" s="573">
        <v>5</v>
      </c>
      <c r="M22" s="573"/>
      <c r="N22" s="574"/>
      <c r="O22" s="626"/>
      <c r="P22" s="573"/>
      <c r="Q22" s="573"/>
      <c r="R22" s="627"/>
      <c r="S22" s="626"/>
      <c r="T22" s="573"/>
      <c r="U22" s="573"/>
      <c r="V22" s="627"/>
    </row>
    <row r="23" spans="1:22" ht="12.75">
      <c r="A23" s="618">
        <v>14</v>
      </c>
      <c r="B23" s="642" t="s">
        <v>624</v>
      </c>
      <c r="C23" s="576">
        <f t="shared" si="0"/>
        <v>39</v>
      </c>
      <c r="D23" s="572">
        <f t="shared" si="0"/>
        <v>39</v>
      </c>
      <c r="E23" s="572"/>
      <c r="F23" s="583"/>
      <c r="G23" s="628">
        <f>H23+J23</f>
        <v>10</v>
      </c>
      <c r="H23" s="572">
        <f>H24+H25</f>
        <v>10</v>
      </c>
      <c r="I23" s="572"/>
      <c r="J23" s="677"/>
      <c r="K23" s="580"/>
      <c r="L23" s="572"/>
      <c r="M23" s="572"/>
      <c r="N23" s="580"/>
      <c r="O23" s="628"/>
      <c r="P23" s="572"/>
      <c r="Q23" s="572"/>
      <c r="R23" s="677"/>
      <c r="S23" s="628">
        <f>S25</f>
        <v>29</v>
      </c>
      <c r="T23" s="578">
        <f>T25</f>
        <v>29</v>
      </c>
      <c r="U23" s="572"/>
      <c r="V23" s="680"/>
    </row>
    <row r="24" spans="1:22" ht="12.75">
      <c r="A24" s="618">
        <v>15</v>
      </c>
      <c r="B24" s="641" t="s">
        <v>625</v>
      </c>
      <c r="C24" s="566">
        <f t="shared" si="0"/>
        <v>10</v>
      </c>
      <c r="D24" s="573">
        <f t="shared" si="0"/>
        <v>10</v>
      </c>
      <c r="E24" s="573"/>
      <c r="F24" s="574"/>
      <c r="G24" s="631">
        <f>H24+J24</f>
        <v>10</v>
      </c>
      <c r="H24" s="573">
        <v>10</v>
      </c>
      <c r="I24" s="638"/>
      <c r="J24" s="627"/>
      <c r="K24" s="582"/>
      <c r="L24" s="574"/>
      <c r="M24" s="573"/>
      <c r="N24" s="574"/>
      <c r="O24" s="626"/>
      <c r="P24" s="573"/>
      <c r="Q24" s="573"/>
      <c r="R24" s="627"/>
      <c r="S24" s="626"/>
      <c r="T24" s="573"/>
      <c r="U24" s="573"/>
      <c r="V24" s="627"/>
    </row>
    <row r="25" spans="1:22" ht="15.75">
      <c r="A25" s="618">
        <v>16</v>
      </c>
      <c r="B25" s="641" t="s">
        <v>626</v>
      </c>
      <c r="C25" s="566">
        <f t="shared" si="0"/>
        <v>29</v>
      </c>
      <c r="D25" s="573">
        <f t="shared" si="0"/>
        <v>29</v>
      </c>
      <c r="E25" s="573"/>
      <c r="F25" s="574"/>
      <c r="G25" s="678"/>
      <c r="H25" s="573"/>
      <c r="I25" s="573"/>
      <c r="J25" s="627"/>
      <c r="K25" s="584"/>
      <c r="L25" s="574"/>
      <c r="M25" s="573"/>
      <c r="N25" s="574"/>
      <c r="O25" s="626"/>
      <c r="P25" s="573"/>
      <c r="Q25" s="573"/>
      <c r="R25" s="627"/>
      <c r="S25" s="631">
        <f>T25</f>
        <v>29</v>
      </c>
      <c r="T25" s="573">
        <v>29</v>
      </c>
      <c r="U25" s="573"/>
      <c r="V25" s="627"/>
    </row>
    <row r="26" spans="1:22" ht="12.75">
      <c r="A26" s="618">
        <v>17</v>
      </c>
      <c r="B26" s="642" t="s">
        <v>627</v>
      </c>
      <c r="C26" s="576">
        <f t="shared" si="0"/>
        <v>5</v>
      </c>
      <c r="D26" s="572">
        <f t="shared" si="0"/>
        <v>5</v>
      </c>
      <c r="E26" s="572">
        <f>I26+M26+Q26+U26</f>
        <v>4.929</v>
      </c>
      <c r="F26" s="583"/>
      <c r="G26" s="629">
        <f>H26+J26</f>
        <v>5</v>
      </c>
      <c r="H26" s="572">
        <f>H27</f>
        <v>5</v>
      </c>
      <c r="I26" s="572">
        <f>I27</f>
        <v>4.929</v>
      </c>
      <c r="J26" s="676"/>
      <c r="K26" s="585"/>
      <c r="L26" s="574"/>
      <c r="M26" s="573"/>
      <c r="N26" s="574"/>
      <c r="O26" s="626"/>
      <c r="P26" s="573"/>
      <c r="Q26" s="573"/>
      <c r="R26" s="627"/>
      <c r="S26" s="626"/>
      <c r="T26" s="573"/>
      <c r="U26" s="573"/>
      <c r="V26" s="627"/>
    </row>
    <row r="27" spans="1:22" ht="12.75">
      <c r="A27" s="618">
        <v>18</v>
      </c>
      <c r="B27" s="641" t="s">
        <v>134</v>
      </c>
      <c r="C27" s="566">
        <f aca="true" t="shared" si="2" ref="C27:E50">G27+K27+O27+S27</f>
        <v>5</v>
      </c>
      <c r="D27" s="573">
        <f t="shared" si="2"/>
        <v>5</v>
      </c>
      <c r="E27" s="573">
        <f>I27+M27+Q27+U27</f>
        <v>4.929</v>
      </c>
      <c r="F27" s="574"/>
      <c r="G27" s="631">
        <f>H27+J27</f>
        <v>5</v>
      </c>
      <c r="H27" s="573">
        <v>5</v>
      </c>
      <c r="I27" s="573">
        <v>4.929</v>
      </c>
      <c r="J27" s="676"/>
      <c r="K27" s="585"/>
      <c r="L27" s="574"/>
      <c r="M27" s="573"/>
      <c r="N27" s="574"/>
      <c r="O27" s="626"/>
      <c r="P27" s="573"/>
      <c r="Q27" s="573"/>
      <c r="R27" s="627"/>
      <c r="S27" s="626"/>
      <c r="T27" s="573"/>
      <c r="U27" s="573"/>
      <c r="V27" s="627"/>
    </row>
    <row r="28" spans="1:22" ht="29.25" customHeight="1">
      <c r="A28" s="618">
        <v>19</v>
      </c>
      <c r="B28" s="654" t="s">
        <v>628</v>
      </c>
      <c r="C28" s="576">
        <f t="shared" si="2"/>
        <v>55</v>
      </c>
      <c r="D28" s="572">
        <f t="shared" si="2"/>
        <v>55</v>
      </c>
      <c r="E28" s="572"/>
      <c r="F28" s="583"/>
      <c r="G28" s="628">
        <f>G29+G30</f>
        <v>55</v>
      </c>
      <c r="H28" s="572">
        <f>H29+H30</f>
        <v>55</v>
      </c>
      <c r="I28" s="572"/>
      <c r="J28" s="677"/>
      <c r="K28" s="585"/>
      <c r="L28" s="573"/>
      <c r="M28" s="573"/>
      <c r="N28" s="574"/>
      <c r="O28" s="626"/>
      <c r="P28" s="573"/>
      <c r="Q28" s="573"/>
      <c r="R28" s="627"/>
      <c r="S28" s="626"/>
      <c r="T28" s="573"/>
      <c r="U28" s="573"/>
      <c r="V28" s="627"/>
    </row>
    <row r="29" spans="1:22" ht="25.5" customHeight="1">
      <c r="A29" s="618">
        <v>20</v>
      </c>
      <c r="B29" s="655" t="s">
        <v>135</v>
      </c>
      <c r="C29" s="566">
        <f t="shared" si="2"/>
        <v>40</v>
      </c>
      <c r="D29" s="573">
        <f t="shared" si="2"/>
        <v>40</v>
      </c>
      <c r="E29" s="573"/>
      <c r="F29" s="574"/>
      <c r="G29" s="679">
        <f>H29+J29</f>
        <v>40</v>
      </c>
      <c r="H29" s="573">
        <v>40</v>
      </c>
      <c r="I29" s="573"/>
      <c r="J29" s="676"/>
      <c r="K29" s="585"/>
      <c r="L29" s="573"/>
      <c r="M29" s="573"/>
      <c r="N29" s="574"/>
      <c r="O29" s="626"/>
      <c r="P29" s="573"/>
      <c r="Q29" s="573"/>
      <c r="R29" s="627"/>
      <c r="S29" s="626"/>
      <c r="T29" s="573"/>
      <c r="U29" s="573"/>
      <c r="V29" s="627"/>
    </row>
    <row r="30" spans="1:22" ht="24" customHeight="1">
      <c r="A30" s="618">
        <v>21</v>
      </c>
      <c r="B30" s="656" t="s">
        <v>629</v>
      </c>
      <c r="C30" s="566">
        <f t="shared" si="2"/>
        <v>15</v>
      </c>
      <c r="D30" s="573">
        <f t="shared" si="2"/>
        <v>15</v>
      </c>
      <c r="E30" s="573"/>
      <c r="F30" s="574"/>
      <c r="G30" s="679">
        <f>H30+J30</f>
        <v>15</v>
      </c>
      <c r="H30" s="573">
        <v>15</v>
      </c>
      <c r="I30" s="573"/>
      <c r="J30" s="676"/>
      <c r="K30" s="585"/>
      <c r="L30" s="573"/>
      <c r="M30" s="573"/>
      <c r="N30" s="574"/>
      <c r="O30" s="626"/>
      <c r="P30" s="573"/>
      <c r="Q30" s="573"/>
      <c r="R30" s="627"/>
      <c r="S30" s="626"/>
      <c r="T30" s="573"/>
      <c r="U30" s="573"/>
      <c r="V30" s="627"/>
    </row>
    <row r="31" spans="1:22" ht="12.75">
      <c r="A31" s="618">
        <v>22</v>
      </c>
      <c r="B31" s="642" t="s">
        <v>201</v>
      </c>
      <c r="C31" s="576">
        <f t="shared" si="2"/>
        <v>2.8</v>
      </c>
      <c r="D31" s="572">
        <f t="shared" si="2"/>
        <v>2.8</v>
      </c>
      <c r="E31" s="573"/>
      <c r="F31" s="574"/>
      <c r="G31" s="628">
        <f>G32+G33</f>
        <v>2.8</v>
      </c>
      <c r="H31" s="572">
        <f>H32+H33</f>
        <v>2.8</v>
      </c>
      <c r="I31" s="573"/>
      <c r="J31" s="676"/>
      <c r="K31" s="585"/>
      <c r="L31" s="573"/>
      <c r="M31" s="573"/>
      <c r="N31" s="574"/>
      <c r="O31" s="626"/>
      <c r="P31" s="573"/>
      <c r="Q31" s="573"/>
      <c r="R31" s="627"/>
      <c r="S31" s="626"/>
      <c r="T31" s="573"/>
      <c r="U31" s="573"/>
      <c r="V31" s="627"/>
    </row>
    <row r="32" spans="1:22" ht="14.25" customHeight="1">
      <c r="A32" s="618">
        <v>23</v>
      </c>
      <c r="B32" s="641" t="s">
        <v>139</v>
      </c>
      <c r="C32" s="566">
        <f t="shared" si="2"/>
        <v>1.4</v>
      </c>
      <c r="D32" s="573">
        <f t="shared" si="2"/>
        <v>1.4</v>
      </c>
      <c r="E32" s="573"/>
      <c r="F32" s="574"/>
      <c r="G32" s="679">
        <f aca="true" t="shared" si="3" ref="G32:G48">H32+J32</f>
        <v>1.4</v>
      </c>
      <c r="H32" s="573">
        <v>1.4</v>
      </c>
      <c r="I32" s="573"/>
      <c r="J32" s="676"/>
      <c r="K32" s="585"/>
      <c r="L32" s="573"/>
      <c r="M32" s="573"/>
      <c r="N32" s="574"/>
      <c r="O32" s="626"/>
      <c r="P32" s="573"/>
      <c r="Q32" s="573"/>
      <c r="R32" s="627"/>
      <c r="S32" s="626"/>
      <c r="T32" s="573"/>
      <c r="U32" s="573"/>
      <c r="V32" s="627"/>
    </row>
    <row r="33" spans="1:22" ht="12.75">
      <c r="A33" s="618">
        <v>24</v>
      </c>
      <c r="B33" s="641" t="s">
        <v>140</v>
      </c>
      <c r="C33" s="566">
        <f t="shared" si="2"/>
        <v>1.4</v>
      </c>
      <c r="D33" s="573">
        <f t="shared" si="2"/>
        <v>1.4</v>
      </c>
      <c r="E33" s="573"/>
      <c r="F33" s="574"/>
      <c r="G33" s="679">
        <f t="shared" si="3"/>
        <v>1.4</v>
      </c>
      <c r="H33" s="573">
        <v>1.4</v>
      </c>
      <c r="I33" s="573"/>
      <c r="J33" s="676"/>
      <c r="K33" s="585"/>
      <c r="L33" s="573"/>
      <c r="M33" s="573"/>
      <c r="N33" s="574"/>
      <c r="O33" s="626"/>
      <c r="P33" s="573"/>
      <c r="Q33" s="573"/>
      <c r="R33" s="627"/>
      <c r="S33" s="626"/>
      <c r="T33" s="573"/>
      <c r="U33" s="573"/>
      <c r="V33" s="627"/>
    </row>
    <row r="34" spans="1:22" ht="12.75">
      <c r="A34" s="618">
        <v>25</v>
      </c>
      <c r="B34" s="845" t="s">
        <v>688</v>
      </c>
      <c r="C34" s="40">
        <f t="shared" si="2"/>
        <v>173.2</v>
      </c>
      <c r="D34" s="49">
        <f t="shared" si="2"/>
        <v>173.2</v>
      </c>
      <c r="E34" s="38"/>
      <c r="F34" s="39"/>
      <c r="G34" s="40">
        <f t="shared" si="3"/>
        <v>173.2</v>
      </c>
      <c r="H34" s="542">
        <f>+H35+H36</f>
        <v>173.2</v>
      </c>
      <c r="I34" s="573"/>
      <c r="J34" s="676"/>
      <c r="K34" s="585"/>
      <c r="L34" s="573"/>
      <c r="M34" s="573"/>
      <c r="N34" s="574"/>
      <c r="O34" s="626"/>
      <c r="P34" s="573"/>
      <c r="Q34" s="573"/>
      <c r="R34" s="627"/>
      <c r="S34" s="626"/>
      <c r="T34" s="573"/>
      <c r="U34" s="573"/>
      <c r="V34" s="627"/>
    </row>
    <row r="35" spans="1:22" ht="12.75">
      <c r="A35" s="618">
        <v>26</v>
      </c>
      <c r="B35" s="243" t="s">
        <v>699</v>
      </c>
      <c r="C35" s="29">
        <f t="shared" si="2"/>
        <v>23.2</v>
      </c>
      <c r="D35" s="48">
        <f t="shared" si="2"/>
        <v>23.2</v>
      </c>
      <c r="E35" s="32"/>
      <c r="F35" s="43"/>
      <c r="G35" s="29">
        <f t="shared" si="3"/>
        <v>23.2</v>
      </c>
      <c r="H35" s="543">
        <v>23.2</v>
      </c>
      <c r="I35" s="573"/>
      <c r="J35" s="676"/>
      <c r="K35" s="585"/>
      <c r="L35" s="573"/>
      <c r="M35" s="573"/>
      <c r="N35" s="574"/>
      <c r="O35" s="626"/>
      <c r="P35" s="573"/>
      <c r="Q35" s="573"/>
      <c r="R35" s="627"/>
      <c r="S35" s="626"/>
      <c r="T35" s="573"/>
      <c r="U35" s="573"/>
      <c r="V35" s="627"/>
    </row>
    <row r="36" spans="1:22" ht="12.75">
      <c r="A36" s="618">
        <v>27</v>
      </c>
      <c r="B36" s="864" t="s">
        <v>698</v>
      </c>
      <c r="C36" s="29">
        <f t="shared" si="2"/>
        <v>150</v>
      </c>
      <c r="D36" s="48">
        <f t="shared" si="2"/>
        <v>150</v>
      </c>
      <c r="E36" s="32"/>
      <c r="F36" s="913"/>
      <c r="G36" s="29">
        <f t="shared" si="3"/>
        <v>150</v>
      </c>
      <c r="H36" s="914">
        <v>150</v>
      </c>
      <c r="I36" s="573"/>
      <c r="J36" s="676"/>
      <c r="K36" s="585"/>
      <c r="L36" s="573"/>
      <c r="M36" s="573"/>
      <c r="N36" s="574"/>
      <c r="O36" s="626"/>
      <c r="P36" s="573"/>
      <c r="Q36" s="573"/>
      <c r="R36" s="627"/>
      <c r="S36" s="626"/>
      <c r="T36" s="573"/>
      <c r="U36" s="573"/>
      <c r="V36" s="627"/>
    </row>
    <row r="37" spans="1:22" ht="12.75">
      <c r="A37" s="618">
        <v>28</v>
      </c>
      <c r="B37" s="642" t="s">
        <v>32</v>
      </c>
      <c r="C37" s="576">
        <f t="shared" si="2"/>
        <v>1087.096</v>
      </c>
      <c r="D37" s="564">
        <f t="shared" si="2"/>
        <v>1007.096</v>
      </c>
      <c r="E37" s="564">
        <f>I37+M37+Q37+U37</f>
        <v>942.157</v>
      </c>
      <c r="F37" s="583">
        <f>J37+N37+R37+V37</f>
        <v>80</v>
      </c>
      <c r="G37" s="629">
        <f t="shared" si="3"/>
        <v>126.896</v>
      </c>
      <c r="H37" s="572">
        <v>46.896</v>
      </c>
      <c r="I37" s="572">
        <v>46.225</v>
      </c>
      <c r="J37" s="680">
        <v>80</v>
      </c>
      <c r="K37" s="576">
        <f>L37+N37</f>
        <v>960.2</v>
      </c>
      <c r="L37" s="572">
        <v>960.2</v>
      </c>
      <c r="M37" s="572">
        <v>895.932</v>
      </c>
      <c r="N37" s="583"/>
      <c r="O37" s="629"/>
      <c r="P37" s="572"/>
      <c r="Q37" s="572"/>
      <c r="R37" s="680"/>
      <c r="S37" s="629"/>
      <c r="T37" s="572"/>
      <c r="U37" s="572"/>
      <c r="V37" s="680"/>
    </row>
    <row r="38" spans="1:22" ht="12.75">
      <c r="A38" s="618">
        <v>29</v>
      </c>
      <c r="B38" s="641" t="s">
        <v>630</v>
      </c>
      <c r="C38" s="586">
        <f t="shared" si="2"/>
        <v>80</v>
      </c>
      <c r="D38" s="587"/>
      <c r="E38" s="587"/>
      <c r="F38" s="669">
        <f>J38+N38+R38+V38</f>
        <v>80</v>
      </c>
      <c r="G38" s="681">
        <f t="shared" si="3"/>
        <v>80</v>
      </c>
      <c r="H38" s="587"/>
      <c r="I38" s="587"/>
      <c r="J38" s="682">
        <v>80</v>
      </c>
      <c r="K38" s="576"/>
      <c r="L38" s="572"/>
      <c r="M38" s="572"/>
      <c r="N38" s="583"/>
      <c r="O38" s="629"/>
      <c r="P38" s="572"/>
      <c r="Q38" s="572"/>
      <c r="R38" s="680"/>
      <c r="S38" s="629"/>
      <c r="T38" s="572"/>
      <c r="U38" s="572"/>
      <c r="V38" s="680"/>
    </row>
    <row r="39" spans="1:22" ht="12.75">
      <c r="A39" s="618">
        <v>30</v>
      </c>
      <c r="B39" s="642" t="s">
        <v>42</v>
      </c>
      <c r="C39" s="576">
        <f t="shared" si="2"/>
        <v>91.26099999999998</v>
      </c>
      <c r="D39" s="572">
        <f t="shared" si="2"/>
        <v>91.26099999999998</v>
      </c>
      <c r="E39" s="572">
        <f t="shared" si="2"/>
        <v>76.529</v>
      </c>
      <c r="F39" s="583"/>
      <c r="G39" s="629">
        <f t="shared" si="3"/>
        <v>77.58099999999999</v>
      </c>
      <c r="H39" s="572">
        <f>78.481-0.9</f>
        <v>77.58099999999999</v>
      </c>
      <c r="I39" s="572">
        <f>64.669-0.1</f>
        <v>64.569</v>
      </c>
      <c r="J39" s="680"/>
      <c r="K39" s="576">
        <f aca="true" t="shared" si="4" ref="K39:K48">L39+N39</f>
        <v>13.58</v>
      </c>
      <c r="L39" s="572">
        <v>13.58</v>
      </c>
      <c r="M39" s="572">
        <v>11.96</v>
      </c>
      <c r="N39" s="588"/>
      <c r="O39" s="629"/>
      <c r="P39" s="572"/>
      <c r="Q39" s="572"/>
      <c r="R39" s="680"/>
      <c r="S39" s="629">
        <f aca="true" t="shared" si="5" ref="S39:S48">T39+V39</f>
        <v>0.1</v>
      </c>
      <c r="T39" s="572">
        <v>0.1</v>
      </c>
      <c r="U39" s="572"/>
      <c r="V39" s="683"/>
    </row>
    <row r="40" spans="1:22" ht="12.75">
      <c r="A40" s="618">
        <v>31</v>
      </c>
      <c r="B40" s="642" t="s">
        <v>43</v>
      </c>
      <c r="C40" s="576">
        <f t="shared" si="2"/>
        <v>98.92800000000001</v>
      </c>
      <c r="D40" s="572">
        <f t="shared" si="2"/>
        <v>98.92800000000001</v>
      </c>
      <c r="E40" s="572">
        <f t="shared" si="2"/>
        <v>88.67399999999999</v>
      </c>
      <c r="F40" s="583"/>
      <c r="G40" s="629">
        <f t="shared" si="3"/>
        <v>83.718</v>
      </c>
      <c r="H40" s="572">
        <f>84.218-0.5</f>
        <v>83.718</v>
      </c>
      <c r="I40" s="572">
        <f>76.744-0.4</f>
        <v>76.344</v>
      </c>
      <c r="J40" s="683"/>
      <c r="K40" s="576">
        <f t="shared" si="4"/>
        <v>13.81</v>
      </c>
      <c r="L40" s="572">
        <v>13.81</v>
      </c>
      <c r="M40" s="572">
        <v>12.33</v>
      </c>
      <c r="N40" s="588"/>
      <c r="O40" s="629"/>
      <c r="P40" s="572"/>
      <c r="Q40" s="572"/>
      <c r="R40" s="680"/>
      <c r="S40" s="629">
        <f t="shared" si="5"/>
        <v>1.4</v>
      </c>
      <c r="T40" s="572">
        <v>1.4</v>
      </c>
      <c r="U40" s="572"/>
      <c r="V40" s="680"/>
    </row>
    <row r="41" spans="1:22" ht="12.75">
      <c r="A41" s="618">
        <v>32</v>
      </c>
      <c r="B41" s="642" t="s">
        <v>44</v>
      </c>
      <c r="C41" s="576">
        <f t="shared" si="2"/>
        <v>91.86800000000001</v>
      </c>
      <c r="D41" s="572">
        <f t="shared" si="2"/>
        <v>91.86800000000001</v>
      </c>
      <c r="E41" s="572">
        <f t="shared" si="2"/>
        <v>78.93599999999999</v>
      </c>
      <c r="F41" s="583"/>
      <c r="G41" s="629">
        <f t="shared" si="3"/>
        <v>75.558</v>
      </c>
      <c r="H41" s="572">
        <f>77.158-1.6</f>
        <v>75.558</v>
      </c>
      <c r="I41" s="572">
        <f>66.576-1.2</f>
        <v>65.37599999999999</v>
      </c>
      <c r="J41" s="683"/>
      <c r="K41" s="576">
        <f t="shared" si="4"/>
        <v>15.31</v>
      </c>
      <c r="L41" s="572">
        <v>15.31</v>
      </c>
      <c r="M41" s="572">
        <v>13.56</v>
      </c>
      <c r="N41" s="588"/>
      <c r="O41" s="629"/>
      <c r="P41" s="572"/>
      <c r="Q41" s="572"/>
      <c r="R41" s="680"/>
      <c r="S41" s="629">
        <f t="shared" si="5"/>
        <v>1</v>
      </c>
      <c r="T41" s="572">
        <v>1</v>
      </c>
      <c r="U41" s="572"/>
      <c r="V41" s="683"/>
    </row>
    <row r="42" spans="1:22" ht="12.75">
      <c r="A42" s="618">
        <v>33</v>
      </c>
      <c r="B42" s="642" t="s">
        <v>45</v>
      </c>
      <c r="C42" s="576">
        <f t="shared" si="2"/>
        <v>52.692</v>
      </c>
      <c r="D42" s="572">
        <f t="shared" si="2"/>
        <v>52.692</v>
      </c>
      <c r="E42" s="572">
        <f t="shared" si="2"/>
        <v>47.24</v>
      </c>
      <c r="F42" s="583"/>
      <c r="G42" s="629">
        <f t="shared" si="3"/>
        <v>51.792</v>
      </c>
      <c r="H42" s="572">
        <f>53.192-1.4</f>
        <v>51.792</v>
      </c>
      <c r="I42" s="572">
        <f>48.24-1</f>
        <v>47.24</v>
      </c>
      <c r="J42" s="683"/>
      <c r="K42" s="576">
        <f t="shared" si="4"/>
        <v>0.9</v>
      </c>
      <c r="L42" s="572">
        <v>0.9</v>
      </c>
      <c r="M42" s="572"/>
      <c r="N42" s="588"/>
      <c r="O42" s="629"/>
      <c r="P42" s="572"/>
      <c r="Q42" s="572"/>
      <c r="R42" s="680"/>
      <c r="S42" s="629"/>
      <c r="T42" s="572"/>
      <c r="U42" s="572"/>
      <c r="V42" s="683"/>
    </row>
    <row r="43" spans="1:22" ht="12.75">
      <c r="A43" s="618">
        <v>34</v>
      </c>
      <c r="B43" s="642" t="s">
        <v>46</v>
      </c>
      <c r="C43" s="576">
        <f t="shared" si="2"/>
        <v>91.20199999999998</v>
      </c>
      <c r="D43" s="572">
        <f t="shared" si="2"/>
        <v>91.20199999999998</v>
      </c>
      <c r="E43" s="572">
        <f t="shared" si="2"/>
        <v>80.419</v>
      </c>
      <c r="F43" s="583"/>
      <c r="G43" s="629">
        <f t="shared" si="3"/>
        <v>79.722</v>
      </c>
      <c r="H43" s="572">
        <f>80.122-0.4</f>
        <v>79.722</v>
      </c>
      <c r="I43" s="572">
        <v>71.419</v>
      </c>
      <c r="J43" s="683"/>
      <c r="K43" s="576">
        <f t="shared" si="4"/>
        <v>10.43</v>
      </c>
      <c r="L43" s="572">
        <v>10.43</v>
      </c>
      <c r="M43" s="572">
        <v>9</v>
      </c>
      <c r="N43" s="588"/>
      <c r="O43" s="629"/>
      <c r="P43" s="572"/>
      <c r="Q43" s="572"/>
      <c r="R43" s="680"/>
      <c r="S43" s="629">
        <f t="shared" si="5"/>
        <v>1.05</v>
      </c>
      <c r="T43" s="572">
        <v>1.05</v>
      </c>
      <c r="U43" s="572"/>
      <c r="V43" s="683"/>
    </row>
    <row r="44" spans="1:22" ht="12.75">
      <c r="A44" s="618">
        <v>35</v>
      </c>
      <c r="B44" s="642" t="s">
        <v>47</v>
      </c>
      <c r="C44" s="576">
        <f t="shared" si="2"/>
        <v>77.117</v>
      </c>
      <c r="D44" s="572">
        <f t="shared" si="2"/>
        <v>77.117</v>
      </c>
      <c r="E44" s="572">
        <f t="shared" si="2"/>
        <v>62.578</v>
      </c>
      <c r="F44" s="583"/>
      <c r="G44" s="629">
        <f t="shared" si="3"/>
        <v>75.017</v>
      </c>
      <c r="H44" s="572">
        <f>75.417-0.4</f>
        <v>75.017</v>
      </c>
      <c r="I44" s="572">
        <f>62.878-0.3</f>
        <v>62.578</v>
      </c>
      <c r="J44" s="680"/>
      <c r="K44" s="576">
        <f t="shared" si="4"/>
        <v>0.9</v>
      </c>
      <c r="L44" s="572">
        <v>0.9</v>
      </c>
      <c r="M44" s="572"/>
      <c r="N44" s="588"/>
      <c r="O44" s="629"/>
      <c r="P44" s="572"/>
      <c r="Q44" s="572"/>
      <c r="R44" s="680"/>
      <c r="S44" s="629">
        <f t="shared" si="5"/>
        <v>1.2</v>
      </c>
      <c r="T44" s="572">
        <v>1.2</v>
      </c>
      <c r="U44" s="572"/>
      <c r="V44" s="683"/>
    </row>
    <row r="45" spans="1:22" ht="12.75">
      <c r="A45" s="618">
        <v>36</v>
      </c>
      <c r="B45" s="642" t="s">
        <v>48</v>
      </c>
      <c r="C45" s="576">
        <f t="shared" si="2"/>
        <v>98.624</v>
      </c>
      <c r="D45" s="572">
        <f t="shared" si="2"/>
        <v>98.624</v>
      </c>
      <c r="E45" s="572">
        <f t="shared" si="2"/>
        <v>87.848</v>
      </c>
      <c r="F45" s="583"/>
      <c r="G45" s="629">
        <f t="shared" si="3"/>
        <v>83.934</v>
      </c>
      <c r="H45" s="572">
        <v>83.934</v>
      </c>
      <c r="I45" s="572">
        <v>74.898</v>
      </c>
      <c r="J45" s="683"/>
      <c r="K45" s="576">
        <f t="shared" si="4"/>
        <v>14.59</v>
      </c>
      <c r="L45" s="572">
        <v>14.59</v>
      </c>
      <c r="M45" s="572">
        <v>12.95</v>
      </c>
      <c r="N45" s="588"/>
      <c r="O45" s="629"/>
      <c r="P45" s="572"/>
      <c r="Q45" s="572"/>
      <c r="R45" s="680"/>
      <c r="S45" s="629">
        <f t="shared" si="5"/>
        <v>0.1</v>
      </c>
      <c r="T45" s="572">
        <v>0.1</v>
      </c>
      <c r="U45" s="572"/>
      <c r="V45" s="683"/>
    </row>
    <row r="46" spans="1:22" ht="12.75">
      <c r="A46" s="618">
        <v>37</v>
      </c>
      <c r="B46" s="642" t="s">
        <v>49</v>
      </c>
      <c r="C46" s="576">
        <f t="shared" si="2"/>
        <v>74.148</v>
      </c>
      <c r="D46" s="572">
        <f t="shared" si="2"/>
        <v>74.148</v>
      </c>
      <c r="E46" s="572">
        <f t="shared" si="2"/>
        <v>66.715</v>
      </c>
      <c r="F46" s="583"/>
      <c r="G46" s="629">
        <f t="shared" si="3"/>
        <v>63.428</v>
      </c>
      <c r="H46" s="572">
        <f>63.628-0.2</f>
        <v>63.428</v>
      </c>
      <c r="I46" s="572">
        <f>57.795-0.1</f>
        <v>57.695</v>
      </c>
      <c r="J46" s="683"/>
      <c r="K46" s="576">
        <f t="shared" si="4"/>
        <v>10.42</v>
      </c>
      <c r="L46" s="572">
        <v>10.42</v>
      </c>
      <c r="M46" s="572">
        <v>9.02</v>
      </c>
      <c r="N46" s="588"/>
      <c r="O46" s="629"/>
      <c r="P46" s="572"/>
      <c r="Q46" s="572"/>
      <c r="R46" s="680"/>
      <c r="S46" s="629">
        <f t="shared" si="5"/>
        <v>0.3</v>
      </c>
      <c r="T46" s="572">
        <v>0.3</v>
      </c>
      <c r="U46" s="572"/>
      <c r="V46" s="683"/>
    </row>
    <row r="47" spans="1:22" ht="12.75">
      <c r="A47" s="618">
        <v>38</v>
      </c>
      <c r="B47" s="642" t="s">
        <v>73</v>
      </c>
      <c r="C47" s="576">
        <f t="shared" si="2"/>
        <v>92.864</v>
      </c>
      <c r="D47" s="572">
        <f t="shared" si="2"/>
        <v>92.864</v>
      </c>
      <c r="E47" s="572">
        <f t="shared" si="2"/>
        <v>83.158</v>
      </c>
      <c r="F47" s="583"/>
      <c r="G47" s="629">
        <f t="shared" si="3"/>
        <v>76.604</v>
      </c>
      <c r="H47" s="572">
        <f>77.004-0.4</f>
        <v>76.604</v>
      </c>
      <c r="I47" s="572">
        <f>69.798-0.2</f>
        <v>69.598</v>
      </c>
      <c r="J47" s="680"/>
      <c r="K47" s="576">
        <f t="shared" si="4"/>
        <v>15.26</v>
      </c>
      <c r="L47" s="572">
        <v>15.26</v>
      </c>
      <c r="M47" s="572">
        <v>13.56</v>
      </c>
      <c r="N47" s="588"/>
      <c r="O47" s="629"/>
      <c r="P47" s="572"/>
      <c r="Q47" s="572"/>
      <c r="R47" s="680"/>
      <c r="S47" s="629">
        <f t="shared" si="5"/>
        <v>1</v>
      </c>
      <c r="T47" s="572">
        <v>1</v>
      </c>
      <c r="U47" s="572"/>
      <c r="V47" s="683"/>
    </row>
    <row r="48" spans="1:22" ht="13.5" thickBot="1">
      <c r="A48" s="645">
        <v>39</v>
      </c>
      <c r="B48" s="658" t="s">
        <v>51</v>
      </c>
      <c r="C48" s="589">
        <f t="shared" si="2"/>
        <v>110.08200000000001</v>
      </c>
      <c r="D48" s="577">
        <f t="shared" si="2"/>
        <v>110.08200000000001</v>
      </c>
      <c r="E48" s="577">
        <f t="shared" si="2"/>
        <v>95.071</v>
      </c>
      <c r="F48" s="590"/>
      <c r="G48" s="684">
        <f t="shared" si="3"/>
        <v>107.114</v>
      </c>
      <c r="H48" s="591">
        <f>107.214-0.1</f>
        <v>107.114</v>
      </c>
      <c r="I48" s="591">
        <v>95.071</v>
      </c>
      <c r="J48" s="685"/>
      <c r="K48" s="589">
        <f t="shared" si="4"/>
        <v>1</v>
      </c>
      <c r="L48" s="577">
        <v>1</v>
      </c>
      <c r="M48" s="577"/>
      <c r="N48" s="592"/>
      <c r="O48" s="684"/>
      <c r="P48" s="591"/>
      <c r="Q48" s="591"/>
      <c r="R48" s="700"/>
      <c r="S48" s="684">
        <f t="shared" si="5"/>
        <v>1.968</v>
      </c>
      <c r="T48" s="591">
        <v>1.968</v>
      </c>
      <c r="U48" s="591"/>
      <c r="V48" s="685"/>
    </row>
    <row r="49" spans="1:22" ht="34.5" customHeight="1" thickBot="1">
      <c r="A49" s="644">
        <v>40</v>
      </c>
      <c r="B49" s="659" t="s">
        <v>206</v>
      </c>
      <c r="C49" s="937">
        <f t="shared" si="2"/>
        <v>15277.321020000003</v>
      </c>
      <c r="D49" s="938">
        <f t="shared" si="2"/>
        <v>15254.521020000002</v>
      </c>
      <c r="E49" s="555">
        <f t="shared" si="2"/>
        <v>12617.398000000001</v>
      </c>
      <c r="F49" s="605">
        <f>J49+N49+R49+V49</f>
        <v>22.8</v>
      </c>
      <c r="G49" s="686">
        <f>G50+SUM(G64:G91)+SUM(G92:G101)-G96</f>
        <v>7730.861000000001</v>
      </c>
      <c r="H49" s="560">
        <f>H50+SUM(H64:H91)+SUM(H92:H101)-H96</f>
        <v>7727.861000000001</v>
      </c>
      <c r="I49" s="560">
        <f>I50+SUM(I64:I91)+SUM(I92:I101)-I96</f>
        <v>5977.173</v>
      </c>
      <c r="J49" s="554">
        <f>J50+SUM(J64:J91)+SUM(J92:J101)-J96</f>
        <v>3</v>
      </c>
      <c r="K49" s="939">
        <f>K50+SUM(K64:K101)</f>
        <v>185.66002</v>
      </c>
      <c r="L49" s="940">
        <f>L50+SUM(L64:L101)</f>
        <v>185.66002</v>
      </c>
      <c r="M49" s="737">
        <f>M50+SUM(M64:M101)</f>
        <v>137.193</v>
      </c>
      <c r="N49" s="910"/>
      <c r="O49" s="707">
        <f>O50+SUM(O64:O101)</f>
        <v>6707.6</v>
      </c>
      <c r="P49" s="593">
        <f>P50+SUM(P64:P101)</f>
        <v>6702.3</v>
      </c>
      <c r="Q49" s="593">
        <f>Q50+SUM(Q64:Q101)</f>
        <v>6467.126</v>
      </c>
      <c r="R49" s="702">
        <f>R50+SUM(R64:R101)</f>
        <v>5.3</v>
      </c>
      <c r="S49" s="713">
        <f>S50+SUM(S64:S101)</f>
        <v>653.2</v>
      </c>
      <c r="T49" s="555">
        <f>SUM(T64:T101)</f>
        <v>638.7</v>
      </c>
      <c r="U49" s="555">
        <f>SUM(U64:U101)</f>
        <v>35.906</v>
      </c>
      <c r="V49" s="687">
        <f>SUM(V64:V101)</f>
        <v>14.5</v>
      </c>
    </row>
    <row r="50" spans="1:22" ht="12.75">
      <c r="A50" s="615">
        <v>41</v>
      </c>
      <c r="B50" s="653" t="s">
        <v>631</v>
      </c>
      <c r="C50" s="561">
        <f t="shared" si="2"/>
        <v>747.18002</v>
      </c>
      <c r="D50" s="564">
        <f t="shared" si="2"/>
        <v>747.18002</v>
      </c>
      <c r="E50" s="564">
        <f t="shared" si="2"/>
        <v>209.823</v>
      </c>
      <c r="F50" s="594"/>
      <c r="G50" s="688">
        <f>H50+J50</f>
        <v>681.409</v>
      </c>
      <c r="H50" s="595">
        <f>SUM(H51:H63)</f>
        <v>681.409</v>
      </c>
      <c r="I50" s="595">
        <f>SUM(I51:I58)</f>
        <v>187.707</v>
      </c>
      <c r="J50" s="689"/>
      <c r="K50" s="935">
        <f>L50+N50</f>
        <v>50.64802</v>
      </c>
      <c r="L50" s="936">
        <f>SUM(L51:L60)</f>
        <v>50.64802</v>
      </c>
      <c r="M50" s="564">
        <f>SUM(M51:M58)</f>
        <v>7.227</v>
      </c>
      <c r="N50" s="597"/>
      <c r="O50" s="688">
        <f>P50+R50</f>
        <v>15.123</v>
      </c>
      <c r="P50" s="595">
        <f>SUM(P51:P58)</f>
        <v>15.123</v>
      </c>
      <c r="Q50" s="596">
        <f>SUM(Q51:Q58)</f>
        <v>14.889</v>
      </c>
      <c r="R50" s="708"/>
      <c r="S50" s="711"/>
      <c r="T50" s="598"/>
      <c r="U50" s="598"/>
      <c r="V50" s="693"/>
    </row>
    <row r="51" spans="1:22" ht="12.75">
      <c r="A51" s="618">
        <v>42</v>
      </c>
      <c r="B51" s="641" t="s">
        <v>146</v>
      </c>
      <c r="C51" s="566">
        <f>D51+F51</f>
        <v>9.123</v>
      </c>
      <c r="D51" s="573">
        <f>G51+K51+O51+S51</f>
        <v>9.123</v>
      </c>
      <c r="E51" s="573">
        <f>I51+M51+Q51+U51</f>
        <v>8.993</v>
      </c>
      <c r="F51" s="574"/>
      <c r="G51" s="626"/>
      <c r="H51" s="573"/>
      <c r="I51" s="573"/>
      <c r="J51" s="676"/>
      <c r="K51" s="584"/>
      <c r="L51" s="573"/>
      <c r="M51" s="573"/>
      <c r="N51" s="580"/>
      <c r="O51" s="631">
        <f>P51+R51</f>
        <v>9.123</v>
      </c>
      <c r="P51" s="573">
        <v>9.123</v>
      </c>
      <c r="Q51" s="573">
        <v>8.993</v>
      </c>
      <c r="R51" s="676"/>
      <c r="S51" s="626"/>
      <c r="T51" s="573"/>
      <c r="U51" s="573"/>
      <c r="V51" s="718"/>
    </row>
    <row r="52" spans="1:22" ht="12.75">
      <c r="A52" s="618">
        <v>43</v>
      </c>
      <c r="B52" s="931" t="s">
        <v>147</v>
      </c>
      <c r="C52" s="932">
        <f aca="true" t="shared" si="6" ref="C52:D63">G52+K52+O52+S52</f>
        <v>48.36302</v>
      </c>
      <c r="D52" s="933">
        <f t="shared" si="6"/>
        <v>48.36302</v>
      </c>
      <c r="E52" s="573">
        <f>I52+M52+Q52+U52</f>
        <v>5.549</v>
      </c>
      <c r="F52" s="574"/>
      <c r="G52" s="626"/>
      <c r="H52" s="573"/>
      <c r="I52" s="573"/>
      <c r="J52" s="627"/>
      <c r="K52" s="932">
        <f>+L52</f>
        <v>48.36302</v>
      </c>
      <c r="L52" s="934">
        <v>48.36302</v>
      </c>
      <c r="M52" s="573">
        <v>5.549</v>
      </c>
      <c r="N52" s="574"/>
      <c r="O52" s="631"/>
      <c r="P52" s="573"/>
      <c r="Q52" s="573"/>
      <c r="R52" s="627"/>
      <c r="S52" s="626"/>
      <c r="T52" s="573"/>
      <c r="U52" s="573"/>
      <c r="V52" s="627"/>
    </row>
    <row r="53" spans="1:22" ht="12.75">
      <c r="A53" s="618">
        <v>44</v>
      </c>
      <c r="B53" s="641" t="s">
        <v>148</v>
      </c>
      <c r="C53" s="566">
        <f t="shared" si="6"/>
        <v>2</v>
      </c>
      <c r="D53" s="573">
        <f t="shared" si="6"/>
        <v>2</v>
      </c>
      <c r="E53" s="573"/>
      <c r="F53" s="574"/>
      <c r="G53" s="626">
        <f aca="true" t="shared" si="7" ref="G53:G63">H53+J53</f>
        <v>2</v>
      </c>
      <c r="H53" s="573">
        <v>2</v>
      </c>
      <c r="I53" s="573"/>
      <c r="J53" s="627"/>
      <c r="K53" s="576"/>
      <c r="L53" s="573"/>
      <c r="M53" s="573"/>
      <c r="N53" s="574"/>
      <c r="O53" s="631"/>
      <c r="P53" s="573"/>
      <c r="Q53" s="573"/>
      <c r="R53" s="627"/>
      <c r="S53" s="626"/>
      <c r="T53" s="573"/>
      <c r="U53" s="573"/>
      <c r="V53" s="627"/>
    </row>
    <row r="54" spans="1:22" ht="12.75">
      <c r="A54" s="618">
        <v>45</v>
      </c>
      <c r="B54" s="641" t="s">
        <v>151</v>
      </c>
      <c r="C54" s="566">
        <f t="shared" si="6"/>
        <v>3.3</v>
      </c>
      <c r="D54" s="573">
        <f t="shared" si="6"/>
        <v>3.3</v>
      </c>
      <c r="E54" s="573"/>
      <c r="F54" s="574"/>
      <c r="G54" s="626">
        <f t="shared" si="7"/>
        <v>3.3</v>
      </c>
      <c r="H54" s="573">
        <v>3.3</v>
      </c>
      <c r="I54" s="573"/>
      <c r="J54" s="627"/>
      <c r="K54" s="584"/>
      <c r="L54" s="573"/>
      <c r="M54" s="573"/>
      <c r="N54" s="574"/>
      <c r="O54" s="631"/>
      <c r="P54" s="573"/>
      <c r="Q54" s="573"/>
      <c r="R54" s="627"/>
      <c r="S54" s="626"/>
      <c r="T54" s="573"/>
      <c r="U54" s="573"/>
      <c r="V54" s="627"/>
    </row>
    <row r="55" spans="1:22" ht="12.75">
      <c r="A55" s="618">
        <v>46</v>
      </c>
      <c r="B55" s="641" t="s">
        <v>632</v>
      </c>
      <c r="C55" s="566">
        <f t="shared" si="6"/>
        <v>365.216</v>
      </c>
      <c r="D55" s="573">
        <f t="shared" si="6"/>
        <v>365.216</v>
      </c>
      <c r="E55" s="573"/>
      <c r="F55" s="574"/>
      <c r="G55" s="626">
        <f t="shared" si="7"/>
        <v>365.216</v>
      </c>
      <c r="H55" s="543">
        <v>365.216</v>
      </c>
      <c r="I55" s="573"/>
      <c r="J55" s="627"/>
      <c r="K55" s="584"/>
      <c r="L55" s="573"/>
      <c r="M55" s="573"/>
      <c r="N55" s="574"/>
      <c r="O55" s="629"/>
      <c r="P55" s="573"/>
      <c r="Q55" s="573"/>
      <c r="R55" s="627"/>
      <c r="S55" s="626"/>
      <c r="T55" s="573"/>
      <c r="U55" s="573"/>
      <c r="V55" s="627"/>
    </row>
    <row r="56" spans="1:22" ht="12.75">
      <c r="A56" s="618">
        <v>47</v>
      </c>
      <c r="B56" s="641" t="s">
        <v>149</v>
      </c>
      <c r="C56" s="566">
        <f t="shared" si="6"/>
        <v>4.7</v>
      </c>
      <c r="D56" s="573">
        <f t="shared" si="6"/>
        <v>4.7</v>
      </c>
      <c r="E56" s="573"/>
      <c r="F56" s="574"/>
      <c r="G56" s="626">
        <f t="shared" si="7"/>
        <v>4.7</v>
      </c>
      <c r="H56" s="573">
        <v>4.7</v>
      </c>
      <c r="I56" s="573"/>
      <c r="J56" s="627"/>
      <c r="K56" s="584"/>
      <c r="L56" s="573"/>
      <c r="M56" s="573"/>
      <c r="N56" s="574"/>
      <c r="O56" s="629"/>
      <c r="P56" s="573"/>
      <c r="Q56" s="573"/>
      <c r="R56" s="627"/>
      <c r="S56" s="626"/>
      <c r="T56" s="573"/>
      <c r="U56" s="573"/>
      <c r="V56" s="627"/>
    </row>
    <row r="57" spans="1:22" ht="12.75">
      <c r="A57" s="618">
        <v>48</v>
      </c>
      <c r="B57" s="641" t="s">
        <v>152</v>
      </c>
      <c r="C57" s="566">
        <f t="shared" si="6"/>
        <v>184.82999999999998</v>
      </c>
      <c r="D57" s="573">
        <f t="shared" si="6"/>
        <v>184.82999999999998</v>
      </c>
      <c r="E57" s="570">
        <f>I57+M57+Q57+U57</f>
        <v>173.96599999999998</v>
      </c>
      <c r="F57" s="583"/>
      <c r="G57" s="626">
        <f t="shared" si="7"/>
        <v>176.545</v>
      </c>
      <c r="H57" s="573">
        <v>176.545</v>
      </c>
      <c r="I57" s="573">
        <v>166.392</v>
      </c>
      <c r="J57" s="627"/>
      <c r="K57" s="566">
        <f>+L57</f>
        <v>2.285</v>
      </c>
      <c r="L57" s="573">
        <v>2.285</v>
      </c>
      <c r="M57" s="573">
        <v>1.678</v>
      </c>
      <c r="N57" s="574"/>
      <c r="O57" s="631">
        <f>P57+R57</f>
        <v>6</v>
      </c>
      <c r="P57" s="573">
        <v>6</v>
      </c>
      <c r="Q57" s="573">
        <v>5.896</v>
      </c>
      <c r="R57" s="627"/>
      <c r="S57" s="626"/>
      <c r="T57" s="573"/>
      <c r="U57" s="573"/>
      <c r="V57" s="627"/>
    </row>
    <row r="58" spans="1:22" ht="12.75">
      <c r="A58" s="618">
        <v>49</v>
      </c>
      <c r="B58" s="641" t="s">
        <v>153</v>
      </c>
      <c r="C58" s="566">
        <f t="shared" si="6"/>
        <v>26.648</v>
      </c>
      <c r="D58" s="573">
        <f t="shared" si="6"/>
        <v>26.648</v>
      </c>
      <c r="E58" s="570">
        <f>I58+M58+Q58+U58</f>
        <v>21.315</v>
      </c>
      <c r="F58" s="583"/>
      <c r="G58" s="626">
        <f t="shared" si="7"/>
        <v>26.648</v>
      </c>
      <c r="H58" s="573">
        <v>26.648</v>
      </c>
      <c r="I58" s="573">
        <v>21.315</v>
      </c>
      <c r="J58" s="627"/>
      <c r="K58" s="584"/>
      <c r="L58" s="573"/>
      <c r="M58" s="573"/>
      <c r="N58" s="574"/>
      <c r="O58" s="629"/>
      <c r="P58" s="573"/>
      <c r="Q58" s="573"/>
      <c r="R58" s="627"/>
      <c r="S58" s="626"/>
      <c r="T58" s="573"/>
      <c r="U58" s="573"/>
      <c r="V58" s="627"/>
    </row>
    <row r="59" spans="1:22" ht="25.5" customHeight="1">
      <c r="A59" s="618">
        <v>50</v>
      </c>
      <c r="B59" s="656" t="s">
        <v>150</v>
      </c>
      <c r="C59" s="566">
        <f t="shared" si="6"/>
        <v>13</v>
      </c>
      <c r="D59" s="573">
        <f t="shared" si="6"/>
        <v>13</v>
      </c>
      <c r="E59" s="572"/>
      <c r="F59" s="583"/>
      <c r="G59" s="626">
        <f t="shared" si="7"/>
        <v>13</v>
      </c>
      <c r="H59" s="573">
        <v>13</v>
      </c>
      <c r="I59" s="573"/>
      <c r="J59" s="627"/>
      <c r="K59" s="584"/>
      <c r="L59" s="573"/>
      <c r="M59" s="573"/>
      <c r="N59" s="574"/>
      <c r="O59" s="629"/>
      <c r="P59" s="573"/>
      <c r="Q59" s="573"/>
      <c r="R59" s="627"/>
      <c r="S59" s="626"/>
      <c r="T59" s="573"/>
      <c r="U59" s="573"/>
      <c r="V59" s="627"/>
    </row>
    <row r="60" spans="1:22" ht="26.25" customHeight="1">
      <c r="A60" s="618">
        <v>51</v>
      </c>
      <c r="B60" s="134" t="s">
        <v>370</v>
      </c>
      <c r="C60" s="27">
        <f t="shared" si="6"/>
        <v>20</v>
      </c>
      <c r="D60" s="48">
        <f t="shared" si="6"/>
        <v>20</v>
      </c>
      <c r="E60" s="32"/>
      <c r="F60" s="43"/>
      <c r="G60" s="213">
        <f t="shared" si="7"/>
        <v>20</v>
      </c>
      <c r="H60" s="211">
        <v>20</v>
      </c>
      <c r="I60" s="573"/>
      <c r="J60" s="627"/>
      <c r="K60" s="584"/>
      <c r="L60" s="573"/>
      <c r="M60" s="573"/>
      <c r="N60" s="574"/>
      <c r="O60" s="629"/>
      <c r="P60" s="573"/>
      <c r="Q60" s="573"/>
      <c r="R60" s="627"/>
      <c r="S60" s="626"/>
      <c r="T60" s="573"/>
      <c r="U60" s="573"/>
      <c r="V60" s="627"/>
    </row>
    <row r="61" spans="1:22" ht="13.5" customHeight="1">
      <c r="A61" s="618">
        <v>52</v>
      </c>
      <c r="B61" s="134" t="s">
        <v>371</v>
      </c>
      <c r="C61" s="27">
        <f t="shared" si="6"/>
        <v>30</v>
      </c>
      <c r="D61" s="48">
        <f t="shared" si="6"/>
        <v>30</v>
      </c>
      <c r="E61" s="32"/>
      <c r="F61" s="43"/>
      <c r="G61" s="213">
        <f t="shared" si="7"/>
        <v>30</v>
      </c>
      <c r="H61" s="211">
        <v>30</v>
      </c>
      <c r="I61" s="573"/>
      <c r="J61" s="627"/>
      <c r="K61" s="584"/>
      <c r="L61" s="573"/>
      <c r="M61" s="573"/>
      <c r="N61" s="574"/>
      <c r="O61" s="629"/>
      <c r="P61" s="573"/>
      <c r="Q61" s="573"/>
      <c r="R61" s="627"/>
      <c r="S61" s="626"/>
      <c r="T61" s="573"/>
      <c r="U61" s="573"/>
      <c r="V61" s="627"/>
    </row>
    <row r="62" spans="1:22" ht="12.75" customHeight="1">
      <c r="A62" s="618">
        <v>53</v>
      </c>
      <c r="B62" s="134" t="s">
        <v>372</v>
      </c>
      <c r="C62" s="27">
        <f t="shared" si="6"/>
        <v>20</v>
      </c>
      <c r="D62" s="48">
        <f t="shared" si="6"/>
        <v>20</v>
      </c>
      <c r="E62" s="32"/>
      <c r="F62" s="43"/>
      <c r="G62" s="213">
        <f t="shared" si="7"/>
        <v>20</v>
      </c>
      <c r="H62" s="211">
        <v>20</v>
      </c>
      <c r="I62" s="573"/>
      <c r="J62" s="627"/>
      <c r="K62" s="584"/>
      <c r="L62" s="573"/>
      <c r="M62" s="573"/>
      <c r="N62" s="574"/>
      <c r="O62" s="629"/>
      <c r="P62" s="573"/>
      <c r="Q62" s="573"/>
      <c r="R62" s="627"/>
      <c r="S62" s="626"/>
      <c r="T62" s="573"/>
      <c r="U62" s="573"/>
      <c r="V62" s="627"/>
    </row>
    <row r="63" spans="1:22" ht="24.75" customHeight="1">
      <c r="A63" s="618">
        <v>54</v>
      </c>
      <c r="B63" s="134" t="s">
        <v>373</v>
      </c>
      <c r="C63" s="27">
        <f t="shared" si="6"/>
        <v>20</v>
      </c>
      <c r="D63" s="48">
        <f t="shared" si="6"/>
        <v>20</v>
      </c>
      <c r="E63" s="32"/>
      <c r="F63" s="43"/>
      <c r="G63" s="213">
        <f t="shared" si="7"/>
        <v>20</v>
      </c>
      <c r="H63" s="211">
        <v>20</v>
      </c>
      <c r="I63" s="573"/>
      <c r="J63" s="627"/>
      <c r="K63" s="584"/>
      <c r="L63" s="573"/>
      <c r="M63" s="573"/>
      <c r="N63" s="574"/>
      <c r="O63" s="629"/>
      <c r="P63" s="573"/>
      <c r="Q63" s="573"/>
      <c r="R63" s="627"/>
      <c r="S63" s="626"/>
      <c r="T63" s="573"/>
      <c r="U63" s="573"/>
      <c r="V63" s="627"/>
    </row>
    <row r="64" spans="1:22" ht="12.75">
      <c r="A64" s="618">
        <v>55</v>
      </c>
      <c r="B64" s="642" t="s">
        <v>74</v>
      </c>
      <c r="C64" s="576">
        <f aca="true" t="shared" si="8" ref="C64:E79">+G64+K64+O64+S64</f>
        <v>459.965</v>
      </c>
      <c r="D64" s="572">
        <f t="shared" si="8"/>
        <v>459.965</v>
      </c>
      <c r="E64" s="572">
        <f t="shared" si="8"/>
        <v>390.642</v>
      </c>
      <c r="F64" s="583"/>
      <c r="G64" s="629">
        <f aca="true" t="shared" si="9" ref="G64:G69">+H64</f>
        <v>291.544</v>
      </c>
      <c r="H64" s="572">
        <v>291.544</v>
      </c>
      <c r="I64" s="572">
        <v>262.967</v>
      </c>
      <c r="J64" s="627"/>
      <c r="K64" s="584"/>
      <c r="L64" s="573"/>
      <c r="M64" s="573"/>
      <c r="N64" s="574"/>
      <c r="O64" s="629">
        <f aca="true" t="shared" si="10" ref="O64:O75">+P64</f>
        <v>133.421</v>
      </c>
      <c r="P64" s="572">
        <v>133.421</v>
      </c>
      <c r="Q64" s="572">
        <v>127.675</v>
      </c>
      <c r="R64" s="680"/>
      <c r="S64" s="629">
        <f aca="true" t="shared" si="11" ref="S64:S69">+T64</f>
        <v>35</v>
      </c>
      <c r="T64" s="572">
        <v>35</v>
      </c>
      <c r="U64" s="572"/>
      <c r="V64" s="680"/>
    </row>
    <row r="65" spans="1:22" ht="12.75">
      <c r="A65" s="618">
        <v>56</v>
      </c>
      <c r="B65" s="642" t="s">
        <v>75</v>
      </c>
      <c r="C65" s="576">
        <f t="shared" si="8"/>
        <v>768.38</v>
      </c>
      <c r="D65" s="572">
        <f t="shared" si="8"/>
        <v>768.38</v>
      </c>
      <c r="E65" s="572">
        <f t="shared" si="8"/>
        <v>633.443</v>
      </c>
      <c r="F65" s="583"/>
      <c r="G65" s="629">
        <f t="shared" si="9"/>
        <v>475.232</v>
      </c>
      <c r="H65" s="572">
        <v>475.232</v>
      </c>
      <c r="I65" s="572">
        <v>422.896</v>
      </c>
      <c r="J65" s="627"/>
      <c r="K65" s="584"/>
      <c r="L65" s="573"/>
      <c r="M65" s="573"/>
      <c r="N65" s="574"/>
      <c r="O65" s="629">
        <f t="shared" si="10"/>
        <v>220.194</v>
      </c>
      <c r="P65" s="572">
        <v>220.194</v>
      </c>
      <c r="Q65" s="572">
        <v>210.547</v>
      </c>
      <c r="R65" s="680"/>
      <c r="S65" s="629">
        <f t="shared" si="11"/>
        <v>72.954</v>
      </c>
      <c r="T65" s="572">
        <v>72.954</v>
      </c>
      <c r="U65" s="572"/>
      <c r="V65" s="680"/>
    </row>
    <row r="66" spans="1:22" ht="12.75">
      <c r="A66" s="618">
        <v>57</v>
      </c>
      <c r="B66" s="642" t="s">
        <v>54</v>
      </c>
      <c r="C66" s="576">
        <f t="shared" si="8"/>
        <v>317.719</v>
      </c>
      <c r="D66" s="572">
        <f t="shared" si="8"/>
        <v>317.719</v>
      </c>
      <c r="E66" s="572">
        <f t="shared" si="8"/>
        <v>259.397</v>
      </c>
      <c r="F66" s="583"/>
      <c r="G66" s="629">
        <f t="shared" si="9"/>
        <v>207.326</v>
      </c>
      <c r="H66" s="572">
        <v>207.326</v>
      </c>
      <c r="I66" s="572">
        <v>170.568</v>
      </c>
      <c r="J66" s="627"/>
      <c r="K66" s="584"/>
      <c r="L66" s="573"/>
      <c r="M66" s="573"/>
      <c r="N66" s="574"/>
      <c r="O66" s="629">
        <f t="shared" si="10"/>
        <v>92.893</v>
      </c>
      <c r="P66" s="572">
        <v>92.893</v>
      </c>
      <c r="Q66" s="572">
        <v>88.829</v>
      </c>
      <c r="R66" s="680"/>
      <c r="S66" s="629">
        <f t="shared" si="11"/>
        <v>17.5</v>
      </c>
      <c r="T66" s="572">
        <v>17.5</v>
      </c>
      <c r="U66" s="572"/>
      <c r="V66" s="680"/>
    </row>
    <row r="67" spans="1:22" ht="12.75">
      <c r="A67" s="618">
        <v>58</v>
      </c>
      <c r="B67" s="642" t="s">
        <v>164</v>
      </c>
      <c r="C67" s="576">
        <f t="shared" si="8"/>
        <v>599.604</v>
      </c>
      <c r="D67" s="572">
        <f t="shared" si="8"/>
        <v>599.604</v>
      </c>
      <c r="E67" s="572">
        <f t="shared" si="8"/>
        <v>477.517</v>
      </c>
      <c r="F67" s="583"/>
      <c r="G67" s="629">
        <f t="shared" si="9"/>
        <v>270.773</v>
      </c>
      <c r="H67" s="572">
        <v>270.773</v>
      </c>
      <c r="I67" s="572">
        <v>225.93</v>
      </c>
      <c r="J67" s="627"/>
      <c r="K67" s="584"/>
      <c r="L67" s="573"/>
      <c r="M67" s="573"/>
      <c r="N67" s="574"/>
      <c r="O67" s="629">
        <f t="shared" si="10"/>
        <v>262.831</v>
      </c>
      <c r="P67" s="572">
        <v>262.831</v>
      </c>
      <c r="Q67" s="572">
        <v>251.587</v>
      </c>
      <c r="R67" s="680"/>
      <c r="S67" s="629">
        <f t="shared" si="11"/>
        <v>66</v>
      </c>
      <c r="T67" s="572">
        <v>66</v>
      </c>
      <c r="U67" s="572"/>
      <c r="V67" s="680"/>
    </row>
    <row r="68" spans="1:22" ht="12.75">
      <c r="A68" s="618">
        <v>59</v>
      </c>
      <c r="B68" s="642" t="s">
        <v>165</v>
      </c>
      <c r="C68" s="576">
        <f t="shared" si="8"/>
        <v>238.04699999999997</v>
      </c>
      <c r="D68" s="572">
        <f t="shared" si="8"/>
        <v>238.04699999999997</v>
      </c>
      <c r="E68" s="572">
        <f t="shared" si="8"/>
        <v>199.70999999999998</v>
      </c>
      <c r="F68" s="583"/>
      <c r="G68" s="629">
        <f t="shared" si="9"/>
        <v>157.105</v>
      </c>
      <c r="H68" s="572">
        <v>157.105</v>
      </c>
      <c r="I68" s="572">
        <v>133.32</v>
      </c>
      <c r="J68" s="627"/>
      <c r="K68" s="584"/>
      <c r="L68" s="573"/>
      <c r="M68" s="573"/>
      <c r="N68" s="574"/>
      <c r="O68" s="629">
        <f t="shared" si="10"/>
        <v>69.242</v>
      </c>
      <c r="P68" s="572">
        <v>69.242</v>
      </c>
      <c r="Q68" s="572">
        <v>66.39</v>
      </c>
      <c r="R68" s="680"/>
      <c r="S68" s="629">
        <f t="shared" si="11"/>
        <v>11.7</v>
      </c>
      <c r="T68" s="572">
        <v>11.7</v>
      </c>
      <c r="U68" s="572"/>
      <c r="V68" s="680"/>
    </row>
    <row r="69" spans="1:22" ht="12.75">
      <c r="A69" s="618">
        <v>60</v>
      </c>
      <c r="B69" s="642" t="s">
        <v>166</v>
      </c>
      <c r="C69" s="576">
        <f t="shared" si="8"/>
        <v>251.106</v>
      </c>
      <c r="D69" s="572">
        <f t="shared" si="8"/>
        <v>251.106</v>
      </c>
      <c r="E69" s="572">
        <f t="shared" si="8"/>
        <v>232.034</v>
      </c>
      <c r="F69" s="583"/>
      <c r="G69" s="629">
        <f t="shared" si="9"/>
        <v>122.752</v>
      </c>
      <c r="H69" s="572">
        <v>122.752</v>
      </c>
      <c r="I69" s="572">
        <v>117.417</v>
      </c>
      <c r="J69" s="627"/>
      <c r="K69" s="584"/>
      <c r="L69" s="573"/>
      <c r="M69" s="573"/>
      <c r="N69" s="574"/>
      <c r="O69" s="629">
        <f t="shared" si="10"/>
        <v>118.554</v>
      </c>
      <c r="P69" s="572">
        <v>118.554</v>
      </c>
      <c r="Q69" s="572">
        <v>114.617</v>
      </c>
      <c r="R69" s="680"/>
      <c r="S69" s="629">
        <f t="shared" si="11"/>
        <v>9.8</v>
      </c>
      <c r="T69" s="572">
        <v>9.8</v>
      </c>
      <c r="U69" s="572"/>
      <c r="V69" s="680"/>
    </row>
    <row r="70" spans="1:22" ht="12.75">
      <c r="A70" s="618">
        <v>61</v>
      </c>
      <c r="B70" s="642" t="s">
        <v>85</v>
      </c>
      <c r="C70" s="576">
        <f t="shared" si="8"/>
        <v>799.144</v>
      </c>
      <c r="D70" s="572">
        <f t="shared" si="8"/>
        <v>792.644</v>
      </c>
      <c r="E70" s="572">
        <f t="shared" si="8"/>
        <v>660.957</v>
      </c>
      <c r="F70" s="583">
        <f>+J70+N70+R70+V70</f>
        <v>6.5</v>
      </c>
      <c r="G70" s="629">
        <f>+H70+J70</f>
        <v>509.961</v>
      </c>
      <c r="H70" s="572">
        <v>509.961</v>
      </c>
      <c r="I70" s="572">
        <v>451.696</v>
      </c>
      <c r="J70" s="680"/>
      <c r="K70" s="584"/>
      <c r="L70" s="573"/>
      <c r="M70" s="573"/>
      <c r="N70" s="574"/>
      <c r="O70" s="629">
        <f t="shared" si="10"/>
        <v>219.583</v>
      </c>
      <c r="P70" s="572">
        <v>219.583</v>
      </c>
      <c r="Q70" s="572">
        <v>209.261</v>
      </c>
      <c r="R70" s="680"/>
      <c r="S70" s="629">
        <f>+T70+V70</f>
        <v>69.6</v>
      </c>
      <c r="T70" s="572">
        <v>63.1</v>
      </c>
      <c r="U70" s="572"/>
      <c r="V70" s="680">
        <v>6.5</v>
      </c>
    </row>
    <row r="71" spans="1:22" ht="12.75">
      <c r="A71" s="618">
        <v>62</v>
      </c>
      <c r="B71" s="642" t="s">
        <v>58</v>
      </c>
      <c r="C71" s="576">
        <f t="shared" si="8"/>
        <v>821.54</v>
      </c>
      <c r="D71" s="572">
        <f t="shared" si="8"/>
        <v>821.54</v>
      </c>
      <c r="E71" s="572">
        <f t="shared" si="8"/>
        <v>736.6970000000001</v>
      </c>
      <c r="F71" s="583"/>
      <c r="G71" s="629">
        <f>+H71</f>
        <v>217.923</v>
      </c>
      <c r="H71" s="572">
        <v>217.923</v>
      </c>
      <c r="I71" s="572">
        <v>172.377</v>
      </c>
      <c r="J71" s="680"/>
      <c r="K71" s="576"/>
      <c r="L71" s="572"/>
      <c r="M71" s="572"/>
      <c r="N71" s="583"/>
      <c r="O71" s="629">
        <f t="shared" si="10"/>
        <v>587.117</v>
      </c>
      <c r="P71" s="572">
        <v>587.117</v>
      </c>
      <c r="Q71" s="572">
        <v>564.32</v>
      </c>
      <c r="R71" s="680"/>
      <c r="S71" s="629">
        <f>+T71+V71</f>
        <v>16.5</v>
      </c>
      <c r="T71" s="572">
        <v>16.5</v>
      </c>
      <c r="U71" s="572"/>
      <c r="V71" s="680"/>
    </row>
    <row r="72" spans="1:22" ht="12.75">
      <c r="A72" s="618">
        <v>63</v>
      </c>
      <c r="B72" s="642" t="s">
        <v>168</v>
      </c>
      <c r="C72" s="576">
        <f t="shared" si="8"/>
        <v>89.94200000000001</v>
      </c>
      <c r="D72" s="572">
        <f t="shared" si="8"/>
        <v>89.94200000000001</v>
      </c>
      <c r="E72" s="572">
        <f t="shared" si="8"/>
        <v>79.61</v>
      </c>
      <c r="F72" s="583"/>
      <c r="G72" s="629">
        <f>+H72</f>
        <v>55.094</v>
      </c>
      <c r="H72" s="572">
        <v>55.094</v>
      </c>
      <c r="I72" s="572">
        <v>52.01</v>
      </c>
      <c r="J72" s="627"/>
      <c r="K72" s="576"/>
      <c r="L72" s="573"/>
      <c r="M72" s="573"/>
      <c r="N72" s="574"/>
      <c r="O72" s="629">
        <f t="shared" si="10"/>
        <v>28.848</v>
      </c>
      <c r="P72" s="572">
        <v>28.848</v>
      </c>
      <c r="Q72" s="572">
        <v>27.6</v>
      </c>
      <c r="R72" s="680"/>
      <c r="S72" s="629">
        <f>+T72</f>
        <v>6</v>
      </c>
      <c r="T72" s="572">
        <v>6</v>
      </c>
      <c r="U72" s="572"/>
      <c r="V72" s="680"/>
    </row>
    <row r="73" spans="1:22" ht="12.75">
      <c r="A73" s="618">
        <v>64</v>
      </c>
      <c r="B73" s="642" t="s">
        <v>633</v>
      </c>
      <c r="C73" s="576">
        <f t="shared" si="8"/>
        <v>161.262</v>
      </c>
      <c r="D73" s="572">
        <f t="shared" si="8"/>
        <v>161.262</v>
      </c>
      <c r="E73" s="572">
        <f t="shared" si="8"/>
        <v>135.715</v>
      </c>
      <c r="F73" s="583"/>
      <c r="G73" s="629">
        <f>+H73</f>
        <v>122.236</v>
      </c>
      <c r="H73" s="572">
        <v>122.236</v>
      </c>
      <c r="I73" s="572">
        <v>100.319</v>
      </c>
      <c r="J73" s="627"/>
      <c r="K73" s="584"/>
      <c r="L73" s="573"/>
      <c r="M73" s="573"/>
      <c r="N73" s="574"/>
      <c r="O73" s="629">
        <f t="shared" si="10"/>
        <v>36.526</v>
      </c>
      <c r="P73" s="572">
        <v>36.526</v>
      </c>
      <c r="Q73" s="572">
        <v>35.396</v>
      </c>
      <c r="R73" s="680"/>
      <c r="S73" s="629">
        <f>+T73</f>
        <v>2.5</v>
      </c>
      <c r="T73" s="572">
        <v>2.5</v>
      </c>
      <c r="U73" s="572"/>
      <c r="V73" s="680"/>
    </row>
    <row r="74" spans="1:22" ht="12.75">
      <c r="A74" s="618">
        <v>65</v>
      </c>
      <c r="B74" s="642" t="s">
        <v>86</v>
      </c>
      <c r="C74" s="576">
        <f t="shared" si="8"/>
        <v>290.902</v>
      </c>
      <c r="D74" s="572">
        <f t="shared" si="8"/>
        <v>290.902</v>
      </c>
      <c r="E74" s="572">
        <f t="shared" si="8"/>
        <v>278.449</v>
      </c>
      <c r="F74" s="583"/>
      <c r="G74" s="629">
        <f>+H74+J74</f>
        <v>56.898</v>
      </c>
      <c r="H74" s="572">
        <v>56.898</v>
      </c>
      <c r="I74" s="572">
        <v>52.654</v>
      </c>
      <c r="J74" s="680"/>
      <c r="K74" s="584"/>
      <c r="L74" s="573"/>
      <c r="M74" s="573"/>
      <c r="N74" s="574"/>
      <c r="O74" s="629">
        <f t="shared" si="10"/>
        <v>233.504</v>
      </c>
      <c r="P74" s="572">
        <v>233.504</v>
      </c>
      <c r="Q74" s="572">
        <v>225.795</v>
      </c>
      <c r="R74" s="680"/>
      <c r="S74" s="629">
        <f>+T74</f>
        <v>0.5</v>
      </c>
      <c r="T74" s="572">
        <v>0.5</v>
      </c>
      <c r="U74" s="572"/>
      <c r="V74" s="680"/>
    </row>
    <row r="75" spans="1:22" ht="12.75">
      <c r="A75" s="618">
        <v>66</v>
      </c>
      <c r="B75" s="642" t="s">
        <v>362</v>
      </c>
      <c r="C75" s="576">
        <f t="shared" si="8"/>
        <v>18.992</v>
      </c>
      <c r="D75" s="572">
        <f t="shared" si="8"/>
        <v>18.992</v>
      </c>
      <c r="E75" s="572">
        <f t="shared" si="8"/>
        <v>17.361</v>
      </c>
      <c r="F75" s="583"/>
      <c r="G75" s="629"/>
      <c r="H75" s="572"/>
      <c r="I75" s="572"/>
      <c r="J75" s="627"/>
      <c r="K75" s="576">
        <f>+L75</f>
        <v>0.8</v>
      </c>
      <c r="L75" s="572">
        <v>0.8</v>
      </c>
      <c r="M75" s="573"/>
      <c r="N75" s="574"/>
      <c r="O75" s="629">
        <f t="shared" si="10"/>
        <v>18.192</v>
      </c>
      <c r="P75" s="572">
        <v>18.192</v>
      </c>
      <c r="Q75" s="572">
        <v>17.361</v>
      </c>
      <c r="R75" s="680"/>
      <c r="S75" s="629"/>
      <c r="T75" s="572"/>
      <c r="U75" s="572"/>
      <c r="V75" s="680"/>
    </row>
    <row r="76" spans="1:22" ht="12.75">
      <c r="A76" s="618">
        <v>67</v>
      </c>
      <c r="B76" s="642" t="s">
        <v>60</v>
      </c>
      <c r="C76" s="576">
        <f t="shared" si="8"/>
        <v>1837.598</v>
      </c>
      <c r="D76" s="572">
        <f t="shared" si="8"/>
        <v>1832.598</v>
      </c>
      <c r="E76" s="572">
        <f t="shared" si="8"/>
        <v>1573.127</v>
      </c>
      <c r="F76" s="583">
        <f>+J76+N76+R76+V76</f>
        <v>5</v>
      </c>
      <c r="G76" s="629">
        <f>+H76</f>
        <v>707.035</v>
      </c>
      <c r="H76" s="572">
        <v>707.035</v>
      </c>
      <c r="I76" s="572">
        <v>553.406</v>
      </c>
      <c r="J76" s="627"/>
      <c r="K76" s="584"/>
      <c r="L76" s="573"/>
      <c r="M76" s="573"/>
      <c r="N76" s="574"/>
      <c r="O76" s="629">
        <f>P76+R76</f>
        <v>1056.563</v>
      </c>
      <c r="P76" s="572">
        <v>1056.563</v>
      </c>
      <c r="Q76" s="572">
        <v>1019.721</v>
      </c>
      <c r="R76" s="680"/>
      <c r="S76" s="629">
        <f>+T76+V76</f>
        <v>74</v>
      </c>
      <c r="T76" s="572">
        <v>69</v>
      </c>
      <c r="U76" s="572"/>
      <c r="V76" s="680">
        <v>5</v>
      </c>
    </row>
    <row r="77" spans="1:22" ht="12.75">
      <c r="A77" s="618">
        <v>68</v>
      </c>
      <c r="B77" s="642" t="s">
        <v>218</v>
      </c>
      <c r="C77" s="576">
        <f t="shared" si="8"/>
        <v>97.074</v>
      </c>
      <c r="D77" s="572">
        <f t="shared" si="8"/>
        <v>96.074</v>
      </c>
      <c r="E77" s="572">
        <f t="shared" si="8"/>
        <v>74.307</v>
      </c>
      <c r="F77" s="583">
        <f>+J77+N77+R77+V77</f>
        <v>1</v>
      </c>
      <c r="G77" s="629">
        <f>+H77</f>
        <v>92.074</v>
      </c>
      <c r="H77" s="572">
        <v>92.074</v>
      </c>
      <c r="I77" s="572">
        <v>74.307</v>
      </c>
      <c r="J77" s="680"/>
      <c r="K77" s="576"/>
      <c r="L77" s="572"/>
      <c r="M77" s="572"/>
      <c r="N77" s="583"/>
      <c r="O77" s="629"/>
      <c r="P77" s="572"/>
      <c r="Q77" s="572"/>
      <c r="R77" s="680"/>
      <c r="S77" s="629">
        <f>+T77+V77</f>
        <v>5</v>
      </c>
      <c r="T77" s="572">
        <v>4</v>
      </c>
      <c r="U77" s="572"/>
      <c r="V77" s="680">
        <v>1</v>
      </c>
    </row>
    <row r="78" spans="1:22" ht="12.75">
      <c r="A78" s="618">
        <v>69</v>
      </c>
      <c r="B78" s="642" t="s">
        <v>172</v>
      </c>
      <c r="C78" s="576">
        <f t="shared" si="8"/>
        <v>1322.293</v>
      </c>
      <c r="D78" s="572">
        <f t="shared" si="8"/>
        <v>1317.793</v>
      </c>
      <c r="E78" s="572">
        <f t="shared" si="8"/>
        <v>1180.651</v>
      </c>
      <c r="F78" s="583">
        <f>+J78+N78+R78+V78</f>
        <v>4.5</v>
      </c>
      <c r="G78" s="629">
        <f>+H78+J78</f>
        <v>370.561</v>
      </c>
      <c r="H78" s="572">
        <v>370.561</v>
      </c>
      <c r="I78" s="572">
        <v>303.6</v>
      </c>
      <c r="J78" s="680"/>
      <c r="K78" s="584"/>
      <c r="L78" s="573"/>
      <c r="M78" s="573"/>
      <c r="N78" s="574"/>
      <c r="O78" s="629">
        <f>P78+R78</f>
        <v>913.752</v>
      </c>
      <c r="P78" s="572">
        <v>909.252</v>
      </c>
      <c r="Q78" s="572">
        <v>877.051</v>
      </c>
      <c r="R78" s="680">
        <v>4.5</v>
      </c>
      <c r="S78" s="629">
        <f aca="true" t="shared" si="12" ref="S78:S88">+T78</f>
        <v>37.98</v>
      </c>
      <c r="T78" s="572">
        <v>37.98</v>
      </c>
      <c r="U78" s="572"/>
      <c r="V78" s="680"/>
    </row>
    <row r="79" spans="1:22" ht="12.75">
      <c r="A79" s="618">
        <v>70</v>
      </c>
      <c r="B79" s="642" t="s">
        <v>62</v>
      </c>
      <c r="C79" s="576">
        <f t="shared" si="8"/>
        <v>830.577</v>
      </c>
      <c r="D79" s="572">
        <f t="shared" si="8"/>
        <v>830.577</v>
      </c>
      <c r="E79" s="572">
        <f t="shared" si="8"/>
        <v>702.28</v>
      </c>
      <c r="F79" s="583"/>
      <c r="G79" s="629">
        <f>+H79+J79</f>
        <v>342.47</v>
      </c>
      <c r="H79" s="572">
        <v>342.47</v>
      </c>
      <c r="I79" s="572">
        <v>247.636</v>
      </c>
      <c r="J79" s="680"/>
      <c r="K79" s="584"/>
      <c r="L79" s="573"/>
      <c r="M79" s="573"/>
      <c r="N79" s="574"/>
      <c r="O79" s="629">
        <f>+P79</f>
        <v>471.107</v>
      </c>
      <c r="P79" s="572">
        <v>471.107</v>
      </c>
      <c r="Q79" s="572">
        <v>454.644</v>
      </c>
      <c r="R79" s="680"/>
      <c r="S79" s="629">
        <f t="shared" si="12"/>
        <v>17</v>
      </c>
      <c r="T79" s="572">
        <v>17</v>
      </c>
      <c r="U79" s="572"/>
      <c r="V79" s="680"/>
    </row>
    <row r="80" spans="1:22" ht="12.75">
      <c r="A80" s="618">
        <v>71</v>
      </c>
      <c r="B80" s="642" t="s">
        <v>219</v>
      </c>
      <c r="C80" s="576">
        <f aca="true" t="shared" si="13" ref="C80:E81">G80+K80+O80+S80</f>
        <v>45.287</v>
      </c>
      <c r="D80" s="572">
        <f t="shared" si="13"/>
        <v>45.287</v>
      </c>
      <c r="E80" s="572">
        <f t="shared" si="13"/>
        <v>41.58</v>
      </c>
      <c r="F80" s="583"/>
      <c r="G80" s="629">
        <f>H80+J80</f>
        <v>39.287</v>
      </c>
      <c r="H80" s="572">
        <v>39.287</v>
      </c>
      <c r="I80" s="572">
        <v>37.98</v>
      </c>
      <c r="J80" s="680"/>
      <c r="K80" s="576"/>
      <c r="L80" s="572"/>
      <c r="M80" s="572"/>
      <c r="N80" s="583"/>
      <c r="O80" s="629"/>
      <c r="P80" s="572"/>
      <c r="Q80" s="572"/>
      <c r="R80" s="680"/>
      <c r="S80" s="629">
        <f t="shared" si="12"/>
        <v>6</v>
      </c>
      <c r="T80" s="572">
        <v>6</v>
      </c>
      <c r="U80" s="572">
        <v>3.6</v>
      </c>
      <c r="V80" s="680"/>
    </row>
    <row r="81" spans="1:22" ht="12.75">
      <c r="A81" s="618">
        <v>72</v>
      </c>
      <c r="B81" s="642" t="s">
        <v>174</v>
      </c>
      <c r="C81" s="576">
        <f t="shared" si="13"/>
        <v>462.933</v>
      </c>
      <c r="D81" s="572">
        <f t="shared" si="13"/>
        <v>462.933</v>
      </c>
      <c r="E81" s="572">
        <f t="shared" si="13"/>
        <v>411.406</v>
      </c>
      <c r="F81" s="583"/>
      <c r="G81" s="629">
        <f>H81+J81</f>
        <v>206.071</v>
      </c>
      <c r="H81" s="572">
        <v>206.071</v>
      </c>
      <c r="I81" s="572">
        <v>168.46</v>
      </c>
      <c r="J81" s="680"/>
      <c r="K81" s="584"/>
      <c r="L81" s="573"/>
      <c r="M81" s="573"/>
      <c r="N81" s="574"/>
      <c r="O81" s="629">
        <f>+P81</f>
        <v>249.862</v>
      </c>
      <c r="P81" s="572">
        <v>249.862</v>
      </c>
      <c r="Q81" s="572">
        <v>242.946</v>
      </c>
      <c r="R81" s="680"/>
      <c r="S81" s="629">
        <f t="shared" si="12"/>
        <v>7</v>
      </c>
      <c r="T81" s="572">
        <v>7</v>
      </c>
      <c r="U81" s="572"/>
      <c r="V81" s="680"/>
    </row>
    <row r="82" spans="1:22" ht="12.75">
      <c r="A82" s="618">
        <v>73</v>
      </c>
      <c r="B82" s="642" t="s">
        <v>63</v>
      </c>
      <c r="C82" s="576">
        <f aca="true" t="shared" si="14" ref="C82:E84">+G82+K82+O82+S82</f>
        <v>762.466</v>
      </c>
      <c r="D82" s="572">
        <f t="shared" si="14"/>
        <v>762.466</v>
      </c>
      <c r="E82" s="572">
        <f t="shared" si="14"/>
        <v>644.5070000000001</v>
      </c>
      <c r="F82" s="583"/>
      <c r="G82" s="629">
        <f>+H82</f>
        <v>313.001</v>
      </c>
      <c r="H82" s="572">
        <v>313.001</v>
      </c>
      <c r="I82" s="572">
        <v>223.764</v>
      </c>
      <c r="J82" s="627"/>
      <c r="K82" s="584"/>
      <c r="L82" s="573"/>
      <c r="M82" s="573"/>
      <c r="N82" s="574"/>
      <c r="O82" s="629">
        <f>+P82</f>
        <v>434.865</v>
      </c>
      <c r="P82" s="572">
        <v>434.865</v>
      </c>
      <c r="Q82" s="572">
        <v>420.743</v>
      </c>
      <c r="R82" s="680"/>
      <c r="S82" s="629">
        <f t="shared" si="12"/>
        <v>14.6</v>
      </c>
      <c r="T82" s="572">
        <v>14.6</v>
      </c>
      <c r="U82" s="572"/>
      <c r="V82" s="680"/>
    </row>
    <row r="83" spans="1:22" ht="12.75">
      <c r="A83" s="618">
        <v>74</v>
      </c>
      <c r="B83" s="642" t="s">
        <v>220</v>
      </c>
      <c r="C83" s="576">
        <f t="shared" si="14"/>
        <v>184.452</v>
      </c>
      <c r="D83" s="572">
        <f t="shared" si="14"/>
        <v>184.452</v>
      </c>
      <c r="E83" s="572">
        <f t="shared" si="14"/>
        <v>141.18200000000002</v>
      </c>
      <c r="F83" s="583"/>
      <c r="G83" s="629">
        <f>+H83</f>
        <v>113.24</v>
      </c>
      <c r="H83" s="572">
        <v>113.24</v>
      </c>
      <c r="I83" s="572">
        <v>81.292</v>
      </c>
      <c r="J83" s="680"/>
      <c r="K83" s="576"/>
      <c r="L83" s="572"/>
      <c r="M83" s="572"/>
      <c r="N83" s="583"/>
      <c r="O83" s="629">
        <f>+P83</f>
        <v>62.686</v>
      </c>
      <c r="P83" s="572">
        <v>62.686</v>
      </c>
      <c r="Q83" s="572">
        <v>59.89</v>
      </c>
      <c r="R83" s="680"/>
      <c r="S83" s="629">
        <f t="shared" si="12"/>
        <v>8.526</v>
      </c>
      <c r="T83" s="572">
        <v>8.526</v>
      </c>
      <c r="U83" s="572"/>
      <c r="V83" s="680"/>
    </row>
    <row r="84" spans="1:22" ht="12.75">
      <c r="A84" s="618">
        <v>75</v>
      </c>
      <c r="B84" s="660" t="s">
        <v>221</v>
      </c>
      <c r="C84" s="576">
        <f t="shared" si="14"/>
        <v>44.588</v>
      </c>
      <c r="D84" s="572">
        <f t="shared" si="14"/>
        <v>44.588</v>
      </c>
      <c r="E84" s="572">
        <f t="shared" si="14"/>
        <v>39.577999999999996</v>
      </c>
      <c r="F84" s="583"/>
      <c r="G84" s="629">
        <f>+H84</f>
        <v>42.131</v>
      </c>
      <c r="H84" s="572">
        <v>42.131</v>
      </c>
      <c r="I84" s="572">
        <v>38.104</v>
      </c>
      <c r="J84" s="680"/>
      <c r="K84" s="576"/>
      <c r="L84" s="572"/>
      <c r="M84" s="572"/>
      <c r="N84" s="583"/>
      <c r="O84" s="629"/>
      <c r="P84" s="572"/>
      <c r="Q84" s="572"/>
      <c r="R84" s="680"/>
      <c r="S84" s="629">
        <f t="shared" si="12"/>
        <v>2.457</v>
      </c>
      <c r="T84" s="572">
        <v>2.457</v>
      </c>
      <c r="U84" s="572">
        <v>1.474</v>
      </c>
      <c r="V84" s="680"/>
    </row>
    <row r="85" spans="1:22" ht="12.75">
      <c r="A85" s="618">
        <v>76</v>
      </c>
      <c r="B85" s="642" t="s">
        <v>64</v>
      </c>
      <c r="C85" s="576">
        <f aca="true" t="shared" si="15" ref="C85:E86">G85+K85+O85+S85</f>
        <v>720.684</v>
      </c>
      <c r="D85" s="572">
        <f t="shared" si="15"/>
        <v>719.884</v>
      </c>
      <c r="E85" s="572">
        <f t="shared" si="15"/>
        <v>623.704</v>
      </c>
      <c r="F85" s="583"/>
      <c r="G85" s="629">
        <f>H85+J85</f>
        <v>264.018</v>
      </c>
      <c r="H85" s="572">
        <v>264.018</v>
      </c>
      <c r="I85" s="572">
        <v>205.848</v>
      </c>
      <c r="J85" s="680"/>
      <c r="K85" s="584"/>
      <c r="L85" s="573"/>
      <c r="M85" s="573"/>
      <c r="N85" s="574"/>
      <c r="O85" s="629">
        <f>P85+R85</f>
        <v>431.666</v>
      </c>
      <c r="P85" s="16">
        <v>430.866</v>
      </c>
      <c r="Q85" s="572">
        <v>417.856</v>
      </c>
      <c r="R85" s="680">
        <v>0.8</v>
      </c>
      <c r="S85" s="629">
        <f t="shared" si="12"/>
        <v>25</v>
      </c>
      <c r="T85" s="572">
        <v>25</v>
      </c>
      <c r="U85" s="572"/>
      <c r="V85" s="680"/>
    </row>
    <row r="86" spans="1:22" ht="12.75">
      <c r="A86" s="618">
        <v>77</v>
      </c>
      <c r="B86" s="642" t="s">
        <v>222</v>
      </c>
      <c r="C86" s="576">
        <f t="shared" si="15"/>
        <v>38.985</v>
      </c>
      <c r="D86" s="572">
        <f t="shared" si="15"/>
        <v>38.985</v>
      </c>
      <c r="E86" s="572">
        <f t="shared" si="15"/>
        <v>37.605</v>
      </c>
      <c r="F86" s="583"/>
      <c r="G86" s="629">
        <f>H86+J86</f>
        <v>37.485</v>
      </c>
      <c r="H86" s="572">
        <v>37.485</v>
      </c>
      <c r="I86" s="572">
        <v>36.705</v>
      </c>
      <c r="J86" s="680"/>
      <c r="K86" s="576"/>
      <c r="L86" s="572"/>
      <c r="M86" s="572"/>
      <c r="N86" s="583"/>
      <c r="O86" s="629"/>
      <c r="P86" s="572"/>
      <c r="Q86" s="572"/>
      <c r="R86" s="680"/>
      <c r="S86" s="629">
        <f t="shared" si="12"/>
        <v>1.5</v>
      </c>
      <c r="T86" s="572">
        <v>1.5</v>
      </c>
      <c r="U86" s="572">
        <v>0.9</v>
      </c>
      <c r="V86" s="680"/>
    </row>
    <row r="87" spans="1:22" ht="12.75">
      <c r="A87" s="618">
        <v>78</v>
      </c>
      <c r="B87" s="642" t="s">
        <v>178</v>
      </c>
      <c r="C87" s="576">
        <f aca="true" t="shared" si="16" ref="C87:E94">+G87+K87+O87+S87</f>
        <v>954.872</v>
      </c>
      <c r="D87" s="572">
        <f t="shared" si="16"/>
        <v>954.872</v>
      </c>
      <c r="E87" s="572">
        <f t="shared" si="16"/>
        <v>767.1949999999999</v>
      </c>
      <c r="F87" s="583"/>
      <c r="G87" s="629">
        <f>+H87</f>
        <v>414.625</v>
      </c>
      <c r="H87" s="572">
        <v>414.625</v>
      </c>
      <c r="I87" s="572">
        <v>270.757</v>
      </c>
      <c r="J87" s="627"/>
      <c r="K87" s="584"/>
      <c r="L87" s="573"/>
      <c r="M87" s="573"/>
      <c r="N87" s="574"/>
      <c r="O87" s="629">
        <f>+P87</f>
        <v>514.317</v>
      </c>
      <c r="P87" s="572">
        <v>514.317</v>
      </c>
      <c r="Q87" s="572">
        <v>496.438</v>
      </c>
      <c r="R87" s="627"/>
      <c r="S87" s="629">
        <f t="shared" si="12"/>
        <v>25.93</v>
      </c>
      <c r="T87" s="572">
        <v>25.93</v>
      </c>
      <c r="U87" s="572"/>
      <c r="V87" s="680"/>
    </row>
    <row r="88" spans="1:22" ht="12.75">
      <c r="A88" s="618">
        <v>79</v>
      </c>
      <c r="B88" s="642" t="s">
        <v>80</v>
      </c>
      <c r="C88" s="576">
        <f t="shared" si="16"/>
        <v>399.664</v>
      </c>
      <c r="D88" s="572">
        <f t="shared" si="16"/>
        <v>399.664</v>
      </c>
      <c r="E88" s="572">
        <f t="shared" si="16"/>
        <v>347.399</v>
      </c>
      <c r="F88" s="583"/>
      <c r="G88" s="629">
        <f>+H88+J88</f>
        <v>60.644</v>
      </c>
      <c r="H88" s="572">
        <v>60.644</v>
      </c>
      <c r="I88" s="572">
        <v>21.076</v>
      </c>
      <c r="J88" s="680"/>
      <c r="K88" s="576">
        <f>L88+N88</f>
        <v>121.3</v>
      </c>
      <c r="L88" s="572">
        <v>121.3</v>
      </c>
      <c r="M88" s="572">
        <v>119.566</v>
      </c>
      <c r="N88" s="583"/>
      <c r="O88" s="629">
        <f>+P88</f>
        <v>211.22</v>
      </c>
      <c r="P88" s="572">
        <v>211.22</v>
      </c>
      <c r="Q88" s="572">
        <v>206.757</v>
      </c>
      <c r="R88" s="680"/>
      <c r="S88" s="629">
        <f t="shared" si="12"/>
        <v>6.5</v>
      </c>
      <c r="T88" s="572">
        <v>6.5</v>
      </c>
      <c r="U88" s="572"/>
      <c r="V88" s="680"/>
    </row>
    <row r="89" spans="1:22" ht="12.75">
      <c r="A89" s="618">
        <v>80</v>
      </c>
      <c r="B89" s="642" t="s">
        <v>179</v>
      </c>
      <c r="C89" s="576">
        <f t="shared" si="16"/>
        <v>473.453</v>
      </c>
      <c r="D89" s="572">
        <f t="shared" si="16"/>
        <v>473.453</v>
      </c>
      <c r="E89" s="572">
        <f t="shared" si="16"/>
        <v>443.236</v>
      </c>
      <c r="F89" s="583"/>
      <c r="G89" s="629">
        <f aca="true" t="shared" si="17" ref="G89:G96">+H89</f>
        <v>415.501</v>
      </c>
      <c r="H89" s="572">
        <v>415.501</v>
      </c>
      <c r="I89" s="572">
        <v>399.376</v>
      </c>
      <c r="J89" s="627"/>
      <c r="K89" s="576">
        <f>L89+N89</f>
        <v>6.21</v>
      </c>
      <c r="L89" s="572">
        <v>6.21</v>
      </c>
      <c r="M89" s="572">
        <v>6.122</v>
      </c>
      <c r="N89" s="574"/>
      <c r="O89" s="629">
        <f>+P89</f>
        <v>21.242</v>
      </c>
      <c r="P89" s="572">
        <v>21.242</v>
      </c>
      <c r="Q89" s="572">
        <v>20.938</v>
      </c>
      <c r="R89" s="680"/>
      <c r="S89" s="629">
        <f>+T89+V89</f>
        <v>30.5</v>
      </c>
      <c r="T89" s="572">
        <v>30.5</v>
      </c>
      <c r="U89" s="572">
        <v>16.8</v>
      </c>
      <c r="V89" s="680"/>
    </row>
    <row r="90" spans="1:22" ht="12.75">
      <c r="A90" s="618">
        <v>81</v>
      </c>
      <c r="B90" s="642" t="s">
        <v>77</v>
      </c>
      <c r="C90" s="576">
        <f t="shared" si="16"/>
        <v>151.598</v>
      </c>
      <c r="D90" s="572">
        <f t="shared" si="16"/>
        <v>151.598</v>
      </c>
      <c r="E90" s="572">
        <f t="shared" si="16"/>
        <v>142.112</v>
      </c>
      <c r="F90" s="583"/>
      <c r="G90" s="629">
        <f t="shared" si="17"/>
        <v>124.608</v>
      </c>
      <c r="H90" s="572">
        <v>124.608</v>
      </c>
      <c r="I90" s="572">
        <v>121.615</v>
      </c>
      <c r="J90" s="627"/>
      <c r="K90" s="576">
        <f>L90+N90</f>
        <v>0.99</v>
      </c>
      <c r="L90" s="572">
        <v>0.99</v>
      </c>
      <c r="M90" s="572">
        <v>0.976</v>
      </c>
      <c r="N90" s="574"/>
      <c r="O90" s="629">
        <f>+P90</f>
        <v>12.5</v>
      </c>
      <c r="P90" s="572">
        <v>12.5</v>
      </c>
      <c r="Q90" s="572">
        <v>12.321</v>
      </c>
      <c r="R90" s="680"/>
      <c r="S90" s="629">
        <f aca="true" t="shared" si="18" ref="S90:S95">T90+V90</f>
        <v>13.5</v>
      </c>
      <c r="T90" s="572">
        <v>13.5</v>
      </c>
      <c r="U90" s="572">
        <v>7.2</v>
      </c>
      <c r="V90" s="680"/>
    </row>
    <row r="91" spans="1:22" ht="12.75">
      <c r="A91" s="618">
        <v>82</v>
      </c>
      <c r="B91" s="642" t="s">
        <v>68</v>
      </c>
      <c r="C91" s="576">
        <f t="shared" si="16"/>
        <v>111.761</v>
      </c>
      <c r="D91" s="572">
        <f t="shared" si="16"/>
        <v>111.761</v>
      </c>
      <c r="E91" s="572">
        <f t="shared" si="16"/>
        <v>78.895</v>
      </c>
      <c r="F91" s="583"/>
      <c r="G91" s="629">
        <f t="shared" si="17"/>
        <v>88.761</v>
      </c>
      <c r="H91" s="572">
        <v>88.761</v>
      </c>
      <c r="I91" s="572">
        <v>78.895</v>
      </c>
      <c r="J91" s="627"/>
      <c r="K91" s="584"/>
      <c r="L91" s="573"/>
      <c r="M91" s="573"/>
      <c r="N91" s="574"/>
      <c r="O91" s="629"/>
      <c r="P91" s="572"/>
      <c r="Q91" s="572"/>
      <c r="R91" s="680"/>
      <c r="S91" s="629">
        <f t="shared" si="18"/>
        <v>23</v>
      </c>
      <c r="T91" s="572">
        <v>23</v>
      </c>
      <c r="U91" s="572"/>
      <c r="V91" s="680"/>
    </row>
    <row r="92" spans="1:22" ht="12.75">
      <c r="A92" s="618">
        <v>83</v>
      </c>
      <c r="B92" s="642" t="s">
        <v>223</v>
      </c>
      <c r="C92" s="576">
        <f t="shared" si="16"/>
        <v>125.654</v>
      </c>
      <c r="D92" s="572">
        <f t="shared" si="16"/>
        <v>125.654</v>
      </c>
      <c r="E92" s="572">
        <f t="shared" si="16"/>
        <v>120.003</v>
      </c>
      <c r="F92" s="583"/>
      <c r="G92" s="629">
        <f t="shared" si="17"/>
        <v>44.391</v>
      </c>
      <c r="H92" s="572">
        <v>44.391</v>
      </c>
      <c r="I92" s="572">
        <v>40.887</v>
      </c>
      <c r="J92" s="627"/>
      <c r="K92" s="584"/>
      <c r="L92" s="573"/>
      <c r="M92" s="573"/>
      <c r="N92" s="574"/>
      <c r="O92" s="629">
        <f>+P92</f>
        <v>80.263</v>
      </c>
      <c r="P92" s="572">
        <v>80.263</v>
      </c>
      <c r="Q92" s="572">
        <v>79.116</v>
      </c>
      <c r="R92" s="680"/>
      <c r="S92" s="629">
        <f t="shared" si="18"/>
        <v>1</v>
      </c>
      <c r="T92" s="572">
        <v>1</v>
      </c>
      <c r="U92" s="572"/>
      <c r="V92" s="680"/>
    </row>
    <row r="93" spans="1:22" ht="12.75">
      <c r="A93" s="618">
        <v>84</v>
      </c>
      <c r="B93" s="642" t="s">
        <v>180</v>
      </c>
      <c r="C93" s="576">
        <f t="shared" si="16"/>
        <v>287.357</v>
      </c>
      <c r="D93" s="572">
        <f t="shared" si="16"/>
        <v>287.357</v>
      </c>
      <c r="E93" s="572">
        <f t="shared" si="16"/>
        <v>247.66799999999998</v>
      </c>
      <c r="F93" s="583"/>
      <c r="G93" s="629">
        <f t="shared" si="17"/>
        <v>206.791</v>
      </c>
      <c r="H93" s="572">
        <v>206.791</v>
      </c>
      <c r="I93" s="572">
        <v>182.994</v>
      </c>
      <c r="J93" s="627"/>
      <c r="K93" s="576">
        <f>L93+N93</f>
        <v>3.35</v>
      </c>
      <c r="L93" s="572">
        <v>3.35</v>
      </c>
      <c r="M93" s="572">
        <v>3.302</v>
      </c>
      <c r="N93" s="574"/>
      <c r="O93" s="629">
        <f>+P93</f>
        <v>62.563</v>
      </c>
      <c r="P93" s="572">
        <v>62.563</v>
      </c>
      <c r="Q93" s="572">
        <v>59.54</v>
      </c>
      <c r="R93" s="680"/>
      <c r="S93" s="629">
        <f t="shared" si="18"/>
        <v>14.653</v>
      </c>
      <c r="T93" s="572">
        <v>14.653</v>
      </c>
      <c r="U93" s="572">
        <v>1.832</v>
      </c>
      <c r="V93" s="680"/>
    </row>
    <row r="94" spans="1:22" ht="12.75">
      <c r="A94" s="618">
        <v>85</v>
      </c>
      <c r="B94" s="642" t="s">
        <v>304</v>
      </c>
      <c r="C94" s="580">
        <f t="shared" si="16"/>
        <v>375.68399999999997</v>
      </c>
      <c r="D94" s="572">
        <f t="shared" si="16"/>
        <v>375.68399999999997</v>
      </c>
      <c r="E94" s="576">
        <f t="shared" si="16"/>
        <v>326.179</v>
      </c>
      <c r="F94" s="583"/>
      <c r="G94" s="629">
        <f t="shared" si="17"/>
        <v>230.218</v>
      </c>
      <c r="H94" s="572">
        <v>230.218</v>
      </c>
      <c r="I94" s="572">
        <v>194.588</v>
      </c>
      <c r="J94" s="627"/>
      <c r="K94" s="584"/>
      <c r="L94" s="573"/>
      <c r="M94" s="573"/>
      <c r="N94" s="574"/>
      <c r="O94" s="629">
        <f>+P94</f>
        <v>135.466</v>
      </c>
      <c r="P94" s="572">
        <v>135.466</v>
      </c>
      <c r="Q94" s="572">
        <v>131.591</v>
      </c>
      <c r="R94" s="680"/>
      <c r="S94" s="629">
        <f t="shared" si="18"/>
        <v>10</v>
      </c>
      <c r="T94" s="572">
        <v>10</v>
      </c>
      <c r="U94" s="572"/>
      <c r="V94" s="680"/>
    </row>
    <row r="95" spans="1:22" ht="12.75">
      <c r="A95" s="791">
        <v>86</v>
      </c>
      <c r="B95" s="792" t="s">
        <v>39</v>
      </c>
      <c r="C95" s="793">
        <f>G95+K95+O95+S95</f>
        <v>391.83900000000006</v>
      </c>
      <c r="D95" s="794">
        <f>H95+L95+P95+T95</f>
        <v>386.83900000000006</v>
      </c>
      <c r="E95" s="794">
        <f>I95+M95+Q95+U95</f>
        <v>313.03900000000004</v>
      </c>
      <c r="F95" s="794">
        <f>J95+N95+R95+V95</f>
        <v>5</v>
      </c>
      <c r="G95" s="795">
        <f>+H95+J95</f>
        <v>354.97700000000003</v>
      </c>
      <c r="H95" s="794">
        <f>354.177-2.2</f>
        <v>351.97700000000003</v>
      </c>
      <c r="I95" s="794">
        <f>296.432-0.8</f>
        <v>295.632</v>
      </c>
      <c r="J95" s="796">
        <v>3</v>
      </c>
      <c r="K95" s="576">
        <f>L95+N95</f>
        <v>2.362</v>
      </c>
      <c r="L95" s="794">
        <v>2.362</v>
      </c>
      <c r="M95" s="794"/>
      <c r="N95" s="785"/>
      <c r="O95" s="795">
        <f>+P95</f>
        <v>13.5</v>
      </c>
      <c r="P95" s="794">
        <v>13.5</v>
      </c>
      <c r="Q95" s="794">
        <v>13.307</v>
      </c>
      <c r="R95" s="796"/>
      <c r="S95" s="795">
        <f t="shared" si="18"/>
        <v>21</v>
      </c>
      <c r="T95" s="794">
        <v>19</v>
      </c>
      <c r="U95" s="794">
        <v>4.1</v>
      </c>
      <c r="V95" s="796">
        <v>2</v>
      </c>
    </row>
    <row r="96" spans="1:22" ht="12.75">
      <c r="A96" s="791">
        <v>87</v>
      </c>
      <c r="B96" s="797" t="s">
        <v>634</v>
      </c>
      <c r="C96" s="798">
        <f aca="true" t="shared" si="19" ref="C96:D124">G96+K96+O96+S96</f>
        <v>11</v>
      </c>
      <c r="D96" s="799">
        <f t="shared" si="19"/>
        <v>11</v>
      </c>
      <c r="E96" s="799"/>
      <c r="F96" s="800"/>
      <c r="G96" s="801">
        <f t="shared" si="17"/>
        <v>11</v>
      </c>
      <c r="H96" s="799">
        <v>11</v>
      </c>
      <c r="I96" s="794"/>
      <c r="J96" s="796"/>
      <c r="K96" s="784"/>
      <c r="L96" s="789"/>
      <c r="M96" s="789"/>
      <c r="N96" s="785"/>
      <c r="O96" s="795"/>
      <c r="P96" s="794"/>
      <c r="Q96" s="794"/>
      <c r="R96" s="796"/>
      <c r="S96" s="795"/>
      <c r="T96" s="794"/>
      <c r="U96" s="794"/>
      <c r="V96" s="796"/>
    </row>
    <row r="97" spans="1:22" ht="12.75">
      <c r="A97" s="618">
        <v>88</v>
      </c>
      <c r="B97" s="642" t="s">
        <v>42</v>
      </c>
      <c r="C97" s="576">
        <f t="shared" si="19"/>
        <v>9.072</v>
      </c>
      <c r="D97" s="572">
        <f t="shared" si="19"/>
        <v>9.072</v>
      </c>
      <c r="E97" s="572">
        <f>I97+M97+Q97+U97</f>
        <v>4.58</v>
      </c>
      <c r="F97" s="583"/>
      <c r="G97" s="629">
        <f>H97+J97</f>
        <v>9.072</v>
      </c>
      <c r="H97" s="572">
        <v>9.072</v>
      </c>
      <c r="I97" s="572">
        <v>4.58</v>
      </c>
      <c r="J97" s="683"/>
      <c r="K97" s="584"/>
      <c r="L97" s="573"/>
      <c r="M97" s="573"/>
      <c r="N97" s="574"/>
      <c r="O97" s="629"/>
      <c r="P97" s="572"/>
      <c r="Q97" s="572"/>
      <c r="R97" s="680"/>
      <c r="S97" s="629"/>
      <c r="T97" s="572"/>
      <c r="U97" s="572"/>
      <c r="V97" s="680"/>
    </row>
    <row r="98" spans="1:22" ht="12.75">
      <c r="A98" s="618">
        <v>89</v>
      </c>
      <c r="B98" s="642" t="s">
        <v>43</v>
      </c>
      <c r="C98" s="576">
        <f t="shared" si="19"/>
        <v>38.466</v>
      </c>
      <c r="D98" s="572">
        <f t="shared" si="19"/>
        <v>38.466</v>
      </c>
      <c r="E98" s="572">
        <f>I98+M98+Q98+U98</f>
        <v>27.422</v>
      </c>
      <c r="F98" s="583"/>
      <c r="G98" s="629">
        <f>H98+J98</f>
        <v>38.466</v>
      </c>
      <c r="H98" s="572">
        <v>38.466</v>
      </c>
      <c r="I98" s="572">
        <v>27.422</v>
      </c>
      <c r="J98" s="683"/>
      <c r="K98" s="584"/>
      <c r="L98" s="573"/>
      <c r="M98" s="573"/>
      <c r="N98" s="574"/>
      <c r="O98" s="629"/>
      <c r="P98" s="572"/>
      <c r="Q98" s="572"/>
      <c r="R98" s="680"/>
      <c r="S98" s="629"/>
      <c r="T98" s="572"/>
      <c r="U98" s="572"/>
      <c r="V98" s="680"/>
    </row>
    <row r="99" spans="1:22" ht="12.75">
      <c r="A99" s="618">
        <v>90</v>
      </c>
      <c r="B99" s="642" t="s">
        <v>44</v>
      </c>
      <c r="C99" s="576">
        <f t="shared" si="19"/>
        <v>13.641</v>
      </c>
      <c r="D99" s="572">
        <f t="shared" si="19"/>
        <v>13.641</v>
      </c>
      <c r="E99" s="572">
        <f>I99+M99+Q99+U99</f>
        <v>9.128</v>
      </c>
      <c r="F99" s="583"/>
      <c r="G99" s="629">
        <f>H99+J99</f>
        <v>13.641</v>
      </c>
      <c r="H99" s="572">
        <v>13.641</v>
      </c>
      <c r="I99" s="572">
        <v>9.128</v>
      </c>
      <c r="J99" s="680"/>
      <c r="K99" s="584"/>
      <c r="L99" s="573"/>
      <c r="M99" s="573"/>
      <c r="N99" s="574"/>
      <c r="O99" s="629"/>
      <c r="P99" s="572"/>
      <c r="Q99" s="572"/>
      <c r="R99" s="680"/>
      <c r="S99" s="626"/>
      <c r="T99" s="570"/>
      <c r="U99" s="570"/>
      <c r="V99" s="683"/>
    </row>
    <row r="100" spans="1:22" ht="12.75">
      <c r="A100" s="618">
        <v>91</v>
      </c>
      <c r="B100" s="642" t="s">
        <v>45</v>
      </c>
      <c r="C100" s="576">
        <f t="shared" si="19"/>
        <v>12.332</v>
      </c>
      <c r="D100" s="572">
        <f t="shared" si="19"/>
        <v>12.332</v>
      </c>
      <c r="E100" s="572">
        <f>I100+M100+Q100+U100</f>
        <v>9.26</v>
      </c>
      <c r="F100" s="583"/>
      <c r="G100" s="629">
        <f>H100+J100</f>
        <v>12.332</v>
      </c>
      <c r="H100" s="572">
        <v>12.332</v>
      </c>
      <c r="I100" s="572">
        <v>9.26</v>
      </c>
      <c r="J100" s="683"/>
      <c r="K100" s="584"/>
      <c r="L100" s="573"/>
      <c r="M100" s="573"/>
      <c r="N100" s="574"/>
      <c r="O100" s="629"/>
      <c r="P100" s="572"/>
      <c r="Q100" s="572"/>
      <c r="R100" s="680"/>
      <c r="S100" s="626"/>
      <c r="T100" s="570"/>
      <c r="U100" s="570"/>
      <c r="V100" s="683"/>
    </row>
    <row r="101" spans="1:22" ht="13.5" thickBot="1">
      <c r="A101" s="646">
        <v>92</v>
      </c>
      <c r="B101" s="661" t="s">
        <v>73</v>
      </c>
      <c r="C101" s="589">
        <f t="shared" si="19"/>
        <v>21.208</v>
      </c>
      <c r="D101" s="577">
        <f t="shared" si="19"/>
        <v>21.208</v>
      </c>
      <c r="E101" s="577"/>
      <c r="F101" s="590"/>
      <c r="G101" s="690">
        <f>H101+J101</f>
        <v>21.208</v>
      </c>
      <c r="H101" s="577">
        <f>24.208-3</f>
        <v>21.208</v>
      </c>
      <c r="I101" s="577"/>
      <c r="J101" s="691"/>
      <c r="K101" s="600"/>
      <c r="L101" s="599"/>
      <c r="M101" s="599"/>
      <c r="N101" s="703"/>
      <c r="O101" s="684"/>
      <c r="P101" s="591"/>
      <c r="Q101" s="591"/>
      <c r="R101" s="700"/>
      <c r="S101" s="719"/>
      <c r="T101" s="601"/>
      <c r="U101" s="601"/>
      <c r="V101" s="685"/>
    </row>
    <row r="102" spans="1:22" ht="48" customHeight="1" thickBot="1">
      <c r="A102" s="644">
        <v>93</v>
      </c>
      <c r="B102" s="659" t="s">
        <v>635</v>
      </c>
      <c r="C102" s="892">
        <f t="shared" si="19"/>
        <v>2926.1709999999994</v>
      </c>
      <c r="D102" s="593">
        <f t="shared" si="19"/>
        <v>2904.0709999999995</v>
      </c>
      <c r="E102" s="593">
        <f>I102+M102+Q102+U102</f>
        <v>2119.6240000000003</v>
      </c>
      <c r="F102" s="893">
        <f>J102+N102+R102+V102</f>
        <v>22.1</v>
      </c>
      <c r="G102" s="686">
        <f>G103+G117+G119+G123+G124+SUM(G125:G135)+G136+G137</f>
        <v>2588.8209999999995</v>
      </c>
      <c r="H102" s="555">
        <f>H103+H117+H119+H123+H124+SUM(H125:H135)+H136+H137</f>
        <v>2588.8209999999995</v>
      </c>
      <c r="I102" s="555">
        <f>I103+I117+I119+I123+I124+SUM(I125:I135)+I136+I137</f>
        <v>2051.344</v>
      </c>
      <c r="J102" s="687"/>
      <c r="K102" s="671"/>
      <c r="L102" s="602"/>
      <c r="M102" s="602"/>
      <c r="N102" s="671"/>
      <c r="O102" s="709"/>
      <c r="P102" s="602"/>
      <c r="Q102" s="602"/>
      <c r="R102" s="710"/>
      <c r="S102" s="713">
        <f>S103+SUM(S117:S135)+S136+S137</f>
        <v>337.35</v>
      </c>
      <c r="T102" s="555">
        <f>SUM(T117:T137)</f>
        <v>315.25</v>
      </c>
      <c r="U102" s="555">
        <f>SUM(U117:U136)</f>
        <v>68.28</v>
      </c>
      <c r="V102" s="687">
        <f>SUM(V117:V136)</f>
        <v>22.1</v>
      </c>
    </row>
    <row r="103" spans="1:22" ht="15.75" customHeight="1">
      <c r="A103" s="615">
        <v>94</v>
      </c>
      <c r="B103" s="885" t="s">
        <v>631</v>
      </c>
      <c r="C103" s="621">
        <f t="shared" si="19"/>
        <v>163</v>
      </c>
      <c r="D103" s="622">
        <f t="shared" si="19"/>
        <v>163</v>
      </c>
      <c r="E103" s="622"/>
      <c r="F103" s="897"/>
      <c r="G103" s="692">
        <f>SUM(G104:G116)-G109</f>
        <v>163</v>
      </c>
      <c r="H103" s="595">
        <f>SUM(H104:H116)-H109</f>
        <v>163</v>
      </c>
      <c r="I103" s="595"/>
      <c r="J103" s="689"/>
      <c r="K103" s="597"/>
      <c r="L103" s="598"/>
      <c r="M103" s="598"/>
      <c r="N103" s="597"/>
      <c r="O103" s="711"/>
      <c r="P103" s="598"/>
      <c r="Q103" s="598"/>
      <c r="R103" s="693"/>
      <c r="S103" s="711"/>
      <c r="T103" s="598"/>
      <c r="U103" s="598"/>
      <c r="V103" s="693"/>
    </row>
    <row r="104" spans="1:22" ht="12.75">
      <c r="A104" s="615">
        <v>95</v>
      </c>
      <c r="B104" s="886" t="s">
        <v>636</v>
      </c>
      <c r="C104" s="631">
        <f t="shared" si="19"/>
        <v>20</v>
      </c>
      <c r="D104" s="603">
        <f t="shared" si="19"/>
        <v>20</v>
      </c>
      <c r="E104" s="564"/>
      <c r="F104" s="695"/>
      <c r="G104" s="626">
        <f aca="true" t="shared" si="20" ref="G104:G135">H104+J104</f>
        <v>20</v>
      </c>
      <c r="H104" s="570">
        <v>20</v>
      </c>
      <c r="I104" s="564"/>
      <c r="J104" s="693"/>
      <c r="K104" s="597"/>
      <c r="L104" s="598"/>
      <c r="M104" s="598"/>
      <c r="N104" s="597"/>
      <c r="O104" s="711"/>
      <c r="P104" s="598"/>
      <c r="Q104" s="598"/>
      <c r="R104" s="693"/>
      <c r="S104" s="711"/>
      <c r="T104" s="598"/>
      <c r="U104" s="598"/>
      <c r="V104" s="693"/>
    </row>
    <row r="105" spans="1:22" ht="12.75">
      <c r="A105" s="615">
        <v>96</v>
      </c>
      <c r="B105" s="886" t="s">
        <v>637</v>
      </c>
      <c r="C105" s="631">
        <f t="shared" si="19"/>
        <v>1</v>
      </c>
      <c r="D105" s="603">
        <f t="shared" si="19"/>
        <v>1</v>
      </c>
      <c r="E105" s="564"/>
      <c r="F105" s="695"/>
      <c r="G105" s="626">
        <f t="shared" si="20"/>
        <v>1</v>
      </c>
      <c r="H105" s="570">
        <v>1</v>
      </c>
      <c r="I105" s="564"/>
      <c r="J105" s="693"/>
      <c r="K105" s="597"/>
      <c r="L105" s="598"/>
      <c r="M105" s="598"/>
      <c r="N105" s="597"/>
      <c r="O105" s="711"/>
      <c r="P105" s="598"/>
      <c r="Q105" s="598"/>
      <c r="R105" s="693"/>
      <c r="S105" s="711"/>
      <c r="T105" s="598"/>
      <c r="U105" s="598"/>
      <c r="V105" s="693"/>
    </row>
    <row r="106" spans="1:22" ht="12.75">
      <c r="A106" s="618">
        <v>97</v>
      </c>
      <c r="B106" s="886" t="s">
        <v>123</v>
      </c>
      <c r="C106" s="631">
        <f t="shared" si="19"/>
        <v>25</v>
      </c>
      <c r="D106" s="573">
        <f t="shared" si="19"/>
        <v>25</v>
      </c>
      <c r="E106" s="573"/>
      <c r="F106" s="627"/>
      <c r="G106" s="626">
        <f t="shared" si="20"/>
        <v>25</v>
      </c>
      <c r="H106" s="573">
        <v>25</v>
      </c>
      <c r="I106" s="573"/>
      <c r="J106" s="627"/>
      <c r="K106" s="584"/>
      <c r="L106" s="573"/>
      <c r="M106" s="573"/>
      <c r="N106" s="574"/>
      <c r="O106" s="626"/>
      <c r="P106" s="573"/>
      <c r="Q106" s="573"/>
      <c r="R106" s="627"/>
      <c r="S106" s="626"/>
      <c r="T106" s="573"/>
      <c r="U106" s="573"/>
      <c r="V106" s="627"/>
    </row>
    <row r="107" spans="1:22" ht="12.75">
      <c r="A107" s="618">
        <v>98</v>
      </c>
      <c r="B107" s="886" t="s">
        <v>124</v>
      </c>
      <c r="C107" s="631">
        <f t="shared" si="19"/>
        <v>58</v>
      </c>
      <c r="D107" s="573">
        <f t="shared" si="19"/>
        <v>58</v>
      </c>
      <c r="E107" s="573"/>
      <c r="F107" s="627"/>
      <c r="G107" s="626">
        <f t="shared" si="20"/>
        <v>58</v>
      </c>
      <c r="H107" s="573">
        <v>58</v>
      </c>
      <c r="I107" s="573"/>
      <c r="J107" s="627"/>
      <c r="K107" s="584"/>
      <c r="L107" s="573"/>
      <c r="M107" s="573"/>
      <c r="N107" s="574"/>
      <c r="O107" s="626"/>
      <c r="P107" s="573"/>
      <c r="Q107" s="573"/>
      <c r="R107" s="627"/>
      <c r="S107" s="626"/>
      <c r="T107" s="573"/>
      <c r="U107" s="573"/>
      <c r="V107" s="627"/>
    </row>
    <row r="108" spans="1:22" ht="12.75">
      <c r="A108" s="618">
        <v>99</v>
      </c>
      <c r="B108" s="886" t="s">
        <v>638</v>
      </c>
      <c r="C108" s="631">
        <f t="shared" si="19"/>
        <v>8</v>
      </c>
      <c r="D108" s="573">
        <f t="shared" si="19"/>
        <v>8</v>
      </c>
      <c r="E108" s="573"/>
      <c r="F108" s="627"/>
      <c r="G108" s="626">
        <f t="shared" si="20"/>
        <v>8</v>
      </c>
      <c r="H108" s="573">
        <v>8</v>
      </c>
      <c r="I108" s="573"/>
      <c r="J108" s="627"/>
      <c r="K108" s="584"/>
      <c r="L108" s="573"/>
      <c r="M108" s="573"/>
      <c r="N108" s="574"/>
      <c r="O108" s="626"/>
      <c r="P108" s="573"/>
      <c r="Q108" s="573"/>
      <c r="R108" s="627"/>
      <c r="S108" s="626"/>
      <c r="T108" s="573"/>
      <c r="U108" s="573"/>
      <c r="V108" s="627"/>
    </row>
    <row r="109" spans="1:22" ht="12.75">
      <c r="A109" s="618">
        <v>100</v>
      </c>
      <c r="B109" s="886" t="s">
        <v>639</v>
      </c>
      <c r="C109" s="631">
        <f t="shared" si="19"/>
        <v>4</v>
      </c>
      <c r="D109" s="573">
        <f t="shared" si="19"/>
        <v>4</v>
      </c>
      <c r="E109" s="573"/>
      <c r="F109" s="627"/>
      <c r="G109" s="626">
        <f t="shared" si="20"/>
        <v>4</v>
      </c>
      <c r="H109" s="573">
        <v>4</v>
      </c>
      <c r="I109" s="573"/>
      <c r="J109" s="627"/>
      <c r="K109" s="584"/>
      <c r="L109" s="573"/>
      <c r="M109" s="573"/>
      <c r="N109" s="574"/>
      <c r="O109" s="626"/>
      <c r="P109" s="573"/>
      <c r="Q109" s="573"/>
      <c r="R109" s="627"/>
      <c r="S109" s="626"/>
      <c r="T109" s="573"/>
      <c r="U109" s="573"/>
      <c r="V109" s="627"/>
    </row>
    <row r="110" spans="1:22" ht="12.75">
      <c r="A110" s="618">
        <v>101</v>
      </c>
      <c r="B110" s="886" t="s">
        <v>301</v>
      </c>
      <c r="C110" s="631">
        <f t="shared" si="19"/>
        <v>17</v>
      </c>
      <c r="D110" s="573">
        <f t="shared" si="19"/>
        <v>17</v>
      </c>
      <c r="E110" s="573"/>
      <c r="F110" s="627"/>
      <c r="G110" s="626">
        <f t="shared" si="20"/>
        <v>17</v>
      </c>
      <c r="H110" s="573">
        <v>17</v>
      </c>
      <c r="I110" s="573"/>
      <c r="J110" s="627"/>
      <c r="K110" s="584"/>
      <c r="L110" s="573"/>
      <c r="M110" s="573"/>
      <c r="N110" s="574"/>
      <c r="O110" s="626"/>
      <c r="P110" s="573"/>
      <c r="Q110" s="573"/>
      <c r="R110" s="627"/>
      <c r="S110" s="626"/>
      <c r="T110" s="573"/>
      <c r="U110" s="573"/>
      <c r="V110" s="627"/>
    </row>
    <row r="111" spans="1:22" ht="12.75">
      <c r="A111" s="618">
        <v>102</v>
      </c>
      <c r="B111" s="886" t="s">
        <v>375</v>
      </c>
      <c r="C111" s="631">
        <f t="shared" si="19"/>
        <v>3</v>
      </c>
      <c r="D111" s="573">
        <f t="shared" si="19"/>
        <v>3</v>
      </c>
      <c r="E111" s="573"/>
      <c r="F111" s="627"/>
      <c r="G111" s="626">
        <f t="shared" si="20"/>
        <v>3</v>
      </c>
      <c r="H111" s="573">
        <v>3</v>
      </c>
      <c r="I111" s="573"/>
      <c r="J111" s="627"/>
      <c r="K111" s="584"/>
      <c r="L111" s="573"/>
      <c r="M111" s="573"/>
      <c r="N111" s="574"/>
      <c r="O111" s="626"/>
      <c r="P111" s="573"/>
      <c r="Q111" s="573"/>
      <c r="R111" s="627"/>
      <c r="S111" s="626"/>
      <c r="T111" s="573"/>
      <c r="U111" s="573"/>
      <c r="V111" s="627"/>
    </row>
    <row r="112" spans="1:22" ht="12.75">
      <c r="A112" s="618">
        <v>103</v>
      </c>
      <c r="B112" s="886" t="s">
        <v>126</v>
      </c>
      <c r="C112" s="631">
        <f t="shared" si="19"/>
        <v>19</v>
      </c>
      <c r="D112" s="573">
        <f t="shared" si="19"/>
        <v>19</v>
      </c>
      <c r="E112" s="573"/>
      <c r="F112" s="627"/>
      <c r="G112" s="626">
        <f t="shared" si="20"/>
        <v>19</v>
      </c>
      <c r="H112" s="573">
        <v>19</v>
      </c>
      <c r="I112" s="573"/>
      <c r="J112" s="627"/>
      <c r="K112" s="584"/>
      <c r="L112" s="573"/>
      <c r="M112" s="573"/>
      <c r="N112" s="574"/>
      <c r="O112" s="626"/>
      <c r="P112" s="573"/>
      <c r="Q112" s="573"/>
      <c r="R112" s="627"/>
      <c r="S112" s="626"/>
      <c r="T112" s="573"/>
      <c r="U112" s="573"/>
      <c r="V112" s="627"/>
    </row>
    <row r="113" spans="1:22" ht="12.75">
      <c r="A113" s="618">
        <v>104</v>
      </c>
      <c r="B113" s="886" t="s">
        <v>297</v>
      </c>
      <c r="C113" s="631">
        <f t="shared" si="19"/>
        <v>1</v>
      </c>
      <c r="D113" s="573">
        <f t="shared" si="19"/>
        <v>1</v>
      </c>
      <c r="E113" s="573"/>
      <c r="F113" s="627"/>
      <c r="G113" s="626">
        <f t="shared" si="20"/>
        <v>1</v>
      </c>
      <c r="H113" s="573">
        <v>1</v>
      </c>
      <c r="I113" s="573"/>
      <c r="J113" s="627"/>
      <c r="K113" s="584"/>
      <c r="L113" s="573"/>
      <c r="M113" s="573"/>
      <c r="N113" s="574"/>
      <c r="O113" s="626"/>
      <c r="P113" s="573"/>
      <c r="Q113" s="573"/>
      <c r="R113" s="627"/>
      <c r="S113" s="626"/>
      <c r="T113" s="573"/>
      <c r="U113" s="573"/>
      <c r="V113" s="627"/>
    </row>
    <row r="114" spans="1:22" ht="12.75">
      <c r="A114" s="618">
        <v>105</v>
      </c>
      <c r="B114" s="886" t="s">
        <v>298</v>
      </c>
      <c r="C114" s="631">
        <f t="shared" si="19"/>
        <v>7</v>
      </c>
      <c r="D114" s="573">
        <f t="shared" si="19"/>
        <v>7</v>
      </c>
      <c r="E114" s="573"/>
      <c r="F114" s="627"/>
      <c r="G114" s="626">
        <f t="shared" si="20"/>
        <v>7</v>
      </c>
      <c r="H114" s="573">
        <v>7</v>
      </c>
      <c r="I114" s="573"/>
      <c r="J114" s="627"/>
      <c r="K114" s="584"/>
      <c r="L114" s="573"/>
      <c r="M114" s="573"/>
      <c r="N114" s="574"/>
      <c r="O114" s="626"/>
      <c r="P114" s="573"/>
      <c r="Q114" s="573"/>
      <c r="R114" s="627"/>
      <c r="S114" s="626"/>
      <c r="T114" s="573"/>
      <c r="U114" s="573"/>
      <c r="V114" s="627"/>
    </row>
    <row r="115" spans="1:22" ht="12.75">
      <c r="A115" s="618">
        <v>106</v>
      </c>
      <c r="B115" s="886" t="s">
        <v>289</v>
      </c>
      <c r="C115" s="631">
        <f t="shared" si="19"/>
        <v>1.5</v>
      </c>
      <c r="D115" s="573">
        <f t="shared" si="19"/>
        <v>1.5</v>
      </c>
      <c r="E115" s="573"/>
      <c r="F115" s="627"/>
      <c r="G115" s="626">
        <f t="shared" si="20"/>
        <v>1.5</v>
      </c>
      <c r="H115" s="573">
        <v>1.5</v>
      </c>
      <c r="I115" s="573"/>
      <c r="J115" s="627"/>
      <c r="K115" s="584"/>
      <c r="L115" s="573"/>
      <c r="M115" s="573"/>
      <c r="N115" s="574"/>
      <c r="O115" s="626"/>
      <c r="P115" s="573"/>
      <c r="Q115" s="573"/>
      <c r="R115" s="627"/>
      <c r="S115" s="626"/>
      <c r="T115" s="573"/>
      <c r="U115" s="573"/>
      <c r="V115" s="627"/>
    </row>
    <row r="116" spans="1:22" ht="25.5" customHeight="1">
      <c r="A116" s="618">
        <v>107</v>
      </c>
      <c r="B116" s="887" t="s">
        <v>374</v>
      </c>
      <c r="C116" s="29">
        <f t="shared" si="19"/>
        <v>2.5</v>
      </c>
      <c r="D116" s="48">
        <f t="shared" si="19"/>
        <v>2.5</v>
      </c>
      <c r="E116" s="48"/>
      <c r="F116" s="45"/>
      <c r="G116" s="213">
        <f t="shared" si="20"/>
        <v>2.5</v>
      </c>
      <c r="H116" s="211">
        <v>2.5</v>
      </c>
      <c r="I116" s="573"/>
      <c r="J116" s="627"/>
      <c r="K116" s="584"/>
      <c r="L116" s="573"/>
      <c r="M116" s="573"/>
      <c r="N116" s="574"/>
      <c r="O116" s="626"/>
      <c r="P116" s="573"/>
      <c r="Q116" s="573"/>
      <c r="R116" s="627"/>
      <c r="S116" s="626"/>
      <c r="T116" s="573"/>
      <c r="U116" s="573"/>
      <c r="V116" s="627"/>
    </row>
    <row r="117" spans="1:22" ht="12.75">
      <c r="A117" s="618">
        <v>108</v>
      </c>
      <c r="B117" s="888" t="s">
        <v>37</v>
      </c>
      <c r="C117" s="629">
        <f t="shared" si="19"/>
        <v>429.14799999999997</v>
      </c>
      <c r="D117" s="572">
        <f t="shared" si="19"/>
        <v>419.14799999999997</v>
      </c>
      <c r="E117" s="572">
        <f>I117+M117+Q117+U117</f>
        <v>342.118</v>
      </c>
      <c r="F117" s="680">
        <f>J117+N117+R117+V117</f>
        <v>10</v>
      </c>
      <c r="G117" s="629">
        <f t="shared" si="20"/>
        <v>369.14799999999997</v>
      </c>
      <c r="H117" s="572">
        <f>371.948-2.8</f>
        <v>369.14799999999997</v>
      </c>
      <c r="I117" s="572">
        <v>334.384</v>
      </c>
      <c r="J117" s="680"/>
      <c r="K117" s="584"/>
      <c r="L117" s="573"/>
      <c r="M117" s="573"/>
      <c r="N117" s="574"/>
      <c r="O117" s="626"/>
      <c r="P117" s="573"/>
      <c r="Q117" s="573"/>
      <c r="R117" s="627"/>
      <c r="S117" s="629">
        <f>T117+V117</f>
        <v>60</v>
      </c>
      <c r="T117" s="572">
        <v>50</v>
      </c>
      <c r="U117" s="572">
        <v>7.734</v>
      </c>
      <c r="V117" s="680">
        <v>10</v>
      </c>
    </row>
    <row r="118" spans="1:22" ht="12.75">
      <c r="A118" s="618">
        <v>109</v>
      </c>
      <c r="B118" s="886" t="s">
        <v>238</v>
      </c>
      <c r="C118" s="631">
        <f t="shared" si="19"/>
        <v>3</v>
      </c>
      <c r="D118" s="570">
        <f t="shared" si="19"/>
        <v>3</v>
      </c>
      <c r="E118" s="570"/>
      <c r="F118" s="683"/>
      <c r="G118" s="631">
        <f t="shared" si="20"/>
        <v>3</v>
      </c>
      <c r="H118" s="570">
        <v>3</v>
      </c>
      <c r="I118" s="572"/>
      <c r="J118" s="680"/>
      <c r="K118" s="584"/>
      <c r="L118" s="573"/>
      <c r="M118" s="573"/>
      <c r="N118" s="574"/>
      <c r="O118" s="626"/>
      <c r="P118" s="573"/>
      <c r="Q118" s="573"/>
      <c r="R118" s="627"/>
      <c r="S118" s="629"/>
      <c r="T118" s="572"/>
      <c r="U118" s="572"/>
      <c r="V118" s="680"/>
    </row>
    <row r="119" spans="1:22" ht="12.75">
      <c r="A119" s="618">
        <v>110</v>
      </c>
      <c r="B119" s="888" t="s">
        <v>38</v>
      </c>
      <c r="C119" s="629">
        <f t="shared" si="19"/>
        <v>561.614</v>
      </c>
      <c r="D119" s="572">
        <f t="shared" si="19"/>
        <v>549.514</v>
      </c>
      <c r="E119" s="572">
        <f>I119+M119+Q119+U119</f>
        <v>429.442</v>
      </c>
      <c r="F119" s="680">
        <f>J119+N119+R119+V119</f>
        <v>12.1</v>
      </c>
      <c r="G119" s="629">
        <f t="shared" si="20"/>
        <v>501.814</v>
      </c>
      <c r="H119" s="572">
        <f>508.714-6.9</f>
        <v>501.814</v>
      </c>
      <c r="I119" s="572">
        <v>429.442</v>
      </c>
      <c r="J119" s="627"/>
      <c r="K119" s="584"/>
      <c r="L119" s="573"/>
      <c r="M119" s="573"/>
      <c r="N119" s="574"/>
      <c r="O119" s="626"/>
      <c r="P119" s="573"/>
      <c r="Q119" s="573"/>
      <c r="R119" s="627"/>
      <c r="S119" s="629">
        <f>T119+V119</f>
        <v>59.800000000000004</v>
      </c>
      <c r="T119" s="572">
        <v>47.7</v>
      </c>
      <c r="U119" s="572"/>
      <c r="V119" s="680">
        <v>12.1</v>
      </c>
    </row>
    <row r="120" spans="1:22" ht="12.75">
      <c r="A120" s="618">
        <v>111</v>
      </c>
      <c r="B120" s="889" t="s">
        <v>155</v>
      </c>
      <c r="C120" s="631">
        <f t="shared" si="19"/>
        <v>3</v>
      </c>
      <c r="D120" s="570">
        <f t="shared" si="19"/>
        <v>3</v>
      </c>
      <c r="E120" s="570"/>
      <c r="F120" s="683"/>
      <c r="G120" s="631">
        <f t="shared" si="20"/>
        <v>3</v>
      </c>
      <c r="H120" s="570">
        <v>3</v>
      </c>
      <c r="I120" s="572"/>
      <c r="J120" s="627"/>
      <c r="K120" s="584"/>
      <c r="L120" s="573"/>
      <c r="M120" s="573"/>
      <c r="N120" s="574"/>
      <c r="O120" s="626"/>
      <c r="P120" s="573"/>
      <c r="Q120" s="573"/>
      <c r="R120" s="627"/>
      <c r="S120" s="629"/>
      <c r="T120" s="572"/>
      <c r="U120" s="572"/>
      <c r="V120" s="680"/>
    </row>
    <row r="121" spans="1:22" ht="12.75">
      <c r="A121" s="618">
        <v>112</v>
      </c>
      <c r="B121" s="889" t="s">
        <v>293</v>
      </c>
      <c r="C121" s="631">
        <f t="shared" si="19"/>
        <v>8</v>
      </c>
      <c r="D121" s="570">
        <f t="shared" si="19"/>
        <v>8</v>
      </c>
      <c r="E121" s="570"/>
      <c r="F121" s="683"/>
      <c r="G121" s="631">
        <f t="shared" si="20"/>
        <v>8</v>
      </c>
      <c r="H121" s="570">
        <v>8</v>
      </c>
      <c r="I121" s="572"/>
      <c r="J121" s="627"/>
      <c r="K121" s="584"/>
      <c r="L121" s="573"/>
      <c r="M121" s="573"/>
      <c r="N121" s="574"/>
      <c r="O121" s="626"/>
      <c r="P121" s="573"/>
      <c r="Q121" s="573"/>
      <c r="R121" s="627"/>
      <c r="S121" s="629"/>
      <c r="T121" s="572"/>
      <c r="U121" s="572"/>
      <c r="V121" s="680"/>
    </row>
    <row r="122" spans="1:22" ht="38.25">
      <c r="A122" s="618">
        <v>113</v>
      </c>
      <c r="B122" s="461" t="s">
        <v>667</v>
      </c>
      <c r="C122" s="631">
        <f t="shared" si="19"/>
        <v>2.5</v>
      </c>
      <c r="D122" s="570">
        <f t="shared" si="19"/>
        <v>2.5</v>
      </c>
      <c r="E122" s="570"/>
      <c r="F122" s="683"/>
      <c r="G122" s="631">
        <f t="shared" si="20"/>
        <v>2.5</v>
      </c>
      <c r="H122" s="570">
        <v>2.5</v>
      </c>
      <c r="I122" s="572"/>
      <c r="J122" s="627"/>
      <c r="K122" s="584"/>
      <c r="L122" s="573"/>
      <c r="M122" s="573"/>
      <c r="N122" s="574"/>
      <c r="O122" s="626"/>
      <c r="P122" s="573"/>
      <c r="Q122" s="573"/>
      <c r="R122" s="627"/>
      <c r="S122" s="629"/>
      <c r="T122" s="572"/>
      <c r="U122" s="572"/>
      <c r="V122" s="680"/>
    </row>
    <row r="123" spans="1:22" ht="12.75">
      <c r="A123" s="618">
        <v>114</v>
      </c>
      <c r="B123" s="888" t="s">
        <v>240</v>
      </c>
      <c r="C123" s="629">
        <f t="shared" si="19"/>
        <v>797.0469999999999</v>
      </c>
      <c r="D123" s="572">
        <f t="shared" si="19"/>
        <v>797.0469999999999</v>
      </c>
      <c r="E123" s="572">
        <f>I123+M123+Q123+U123</f>
        <v>718.71</v>
      </c>
      <c r="F123" s="680"/>
      <c r="G123" s="629">
        <f t="shared" si="20"/>
        <v>793.247</v>
      </c>
      <c r="H123" s="572">
        <f>794.747-1.5</f>
        <v>793.247</v>
      </c>
      <c r="I123" s="572">
        <v>718.71</v>
      </c>
      <c r="J123" s="680"/>
      <c r="K123" s="584"/>
      <c r="L123" s="573"/>
      <c r="M123" s="573"/>
      <c r="N123" s="574"/>
      <c r="O123" s="626"/>
      <c r="P123" s="573"/>
      <c r="Q123" s="573"/>
      <c r="R123" s="627"/>
      <c r="S123" s="629">
        <f>T123+V123</f>
        <v>3.8</v>
      </c>
      <c r="T123" s="572">
        <v>3.8</v>
      </c>
      <c r="U123" s="572"/>
      <c r="V123" s="680"/>
    </row>
    <row r="124" spans="1:22" ht="12.75">
      <c r="A124" s="618">
        <v>115</v>
      </c>
      <c r="B124" s="888" t="s">
        <v>39</v>
      </c>
      <c r="C124" s="629">
        <f t="shared" si="19"/>
        <v>17</v>
      </c>
      <c r="D124" s="572">
        <f t="shared" si="19"/>
        <v>17</v>
      </c>
      <c r="E124" s="572"/>
      <c r="F124" s="680"/>
      <c r="G124" s="629">
        <f t="shared" si="20"/>
        <v>17</v>
      </c>
      <c r="H124" s="572">
        <v>17</v>
      </c>
      <c r="I124" s="572"/>
      <c r="J124" s="680"/>
      <c r="K124" s="584"/>
      <c r="L124" s="573"/>
      <c r="M124" s="573"/>
      <c r="N124" s="574"/>
      <c r="O124" s="629"/>
      <c r="P124" s="572"/>
      <c r="Q124" s="572"/>
      <c r="R124" s="627"/>
      <c r="S124" s="629"/>
      <c r="T124" s="572"/>
      <c r="U124" s="572"/>
      <c r="V124" s="680"/>
    </row>
    <row r="125" spans="1:22" ht="25.5" customHeight="1">
      <c r="A125" s="618">
        <v>116</v>
      </c>
      <c r="B125" s="890" t="s">
        <v>79</v>
      </c>
      <c r="C125" s="629">
        <f aca="true" t="shared" si="21" ref="C125:E149">G125+K125+O125+S125</f>
        <v>88.71799999999999</v>
      </c>
      <c r="D125" s="572">
        <f t="shared" si="21"/>
        <v>88.71799999999999</v>
      </c>
      <c r="E125" s="572">
        <f t="shared" si="21"/>
        <v>68.483</v>
      </c>
      <c r="F125" s="680"/>
      <c r="G125" s="629">
        <f t="shared" si="20"/>
        <v>70.618</v>
      </c>
      <c r="H125" s="572">
        <f>71.018-0.4</f>
        <v>70.618</v>
      </c>
      <c r="I125" s="572">
        <v>66.483</v>
      </c>
      <c r="J125" s="680"/>
      <c r="K125" s="584"/>
      <c r="L125" s="573"/>
      <c r="M125" s="573"/>
      <c r="N125" s="574"/>
      <c r="O125" s="626"/>
      <c r="P125" s="573"/>
      <c r="Q125" s="573"/>
      <c r="R125" s="627"/>
      <c r="S125" s="629">
        <f aca="true" t="shared" si="22" ref="S125:S131">T125+V125</f>
        <v>18.1</v>
      </c>
      <c r="T125" s="572">
        <v>18.1</v>
      </c>
      <c r="U125" s="572">
        <v>2</v>
      </c>
      <c r="V125" s="680"/>
    </row>
    <row r="126" spans="1:22" ht="12" customHeight="1">
      <c r="A126" s="618">
        <v>117</v>
      </c>
      <c r="B126" s="890" t="s">
        <v>311</v>
      </c>
      <c r="C126" s="629">
        <f t="shared" si="21"/>
        <v>371.72</v>
      </c>
      <c r="D126" s="572">
        <f t="shared" si="21"/>
        <v>371.72</v>
      </c>
      <c r="E126" s="572">
        <f t="shared" si="21"/>
        <v>207.47</v>
      </c>
      <c r="F126" s="680"/>
      <c r="G126" s="629">
        <f t="shared" si="20"/>
        <v>186.72</v>
      </c>
      <c r="H126" s="572">
        <f>187.32-0.6</f>
        <v>186.72</v>
      </c>
      <c r="I126" s="572">
        <v>148.924</v>
      </c>
      <c r="J126" s="680"/>
      <c r="K126" s="584"/>
      <c r="L126" s="573"/>
      <c r="M126" s="573"/>
      <c r="N126" s="574"/>
      <c r="O126" s="626"/>
      <c r="P126" s="573"/>
      <c r="Q126" s="573"/>
      <c r="R126" s="627"/>
      <c r="S126" s="629">
        <f t="shared" si="22"/>
        <v>185</v>
      </c>
      <c r="T126" s="572">
        <v>185</v>
      </c>
      <c r="U126" s="572">
        <v>58.546</v>
      </c>
      <c r="V126" s="680"/>
    </row>
    <row r="127" spans="1:22" ht="12.75">
      <c r="A127" s="618">
        <v>118</v>
      </c>
      <c r="B127" s="888" t="s">
        <v>42</v>
      </c>
      <c r="C127" s="629">
        <f t="shared" si="21"/>
        <v>68.782</v>
      </c>
      <c r="D127" s="572">
        <f t="shared" si="21"/>
        <v>68.782</v>
      </c>
      <c r="E127" s="572">
        <f t="shared" si="21"/>
        <v>35.27</v>
      </c>
      <c r="F127" s="680"/>
      <c r="G127" s="629">
        <f t="shared" si="20"/>
        <v>68.182</v>
      </c>
      <c r="H127" s="572">
        <f>69.282-1.1</f>
        <v>68.182</v>
      </c>
      <c r="I127" s="572">
        <v>35.27</v>
      </c>
      <c r="J127" s="683"/>
      <c r="K127" s="584"/>
      <c r="L127" s="573"/>
      <c r="M127" s="573"/>
      <c r="N127" s="574"/>
      <c r="O127" s="626"/>
      <c r="P127" s="573"/>
      <c r="Q127" s="573"/>
      <c r="R127" s="627"/>
      <c r="S127" s="629">
        <f t="shared" si="22"/>
        <v>0.6</v>
      </c>
      <c r="T127" s="572">
        <v>0.6</v>
      </c>
      <c r="U127" s="570"/>
      <c r="V127" s="683"/>
    </row>
    <row r="128" spans="1:22" ht="12.75">
      <c r="A128" s="618">
        <v>119</v>
      </c>
      <c r="B128" s="888" t="s">
        <v>43</v>
      </c>
      <c r="C128" s="629">
        <f t="shared" si="21"/>
        <v>40.838</v>
      </c>
      <c r="D128" s="572">
        <f t="shared" si="21"/>
        <v>40.838</v>
      </c>
      <c r="E128" s="572">
        <f t="shared" si="21"/>
        <v>34.691</v>
      </c>
      <c r="F128" s="680"/>
      <c r="G128" s="629">
        <f t="shared" si="20"/>
        <v>40.638</v>
      </c>
      <c r="H128" s="572">
        <v>40.638</v>
      </c>
      <c r="I128" s="572">
        <v>34.691</v>
      </c>
      <c r="J128" s="683"/>
      <c r="K128" s="584"/>
      <c r="L128" s="573"/>
      <c r="M128" s="573"/>
      <c r="N128" s="574"/>
      <c r="O128" s="626"/>
      <c r="P128" s="573"/>
      <c r="Q128" s="573"/>
      <c r="R128" s="627"/>
      <c r="S128" s="629">
        <f t="shared" si="22"/>
        <v>0.2</v>
      </c>
      <c r="T128" s="572">
        <v>0.2</v>
      </c>
      <c r="U128" s="570"/>
      <c r="V128" s="683"/>
    </row>
    <row r="129" spans="1:22" ht="12.75">
      <c r="A129" s="618">
        <v>120</v>
      </c>
      <c r="B129" s="888" t="s">
        <v>44</v>
      </c>
      <c r="C129" s="629">
        <f t="shared" si="21"/>
        <v>68.45100000000001</v>
      </c>
      <c r="D129" s="572">
        <f t="shared" si="21"/>
        <v>68.45100000000001</v>
      </c>
      <c r="E129" s="572">
        <f t="shared" si="21"/>
        <v>48.3</v>
      </c>
      <c r="F129" s="680"/>
      <c r="G129" s="629">
        <f t="shared" si="20"/>
        <v>67.45100000000001</v>
      </c>
      <c r="H129" s="572">
        <f>68.051-0.6</f>
        <v>67.45100000000001</v>
      </c>
      <c r="I129" s="572">
        <v>48.3</v>
      </c>
      <c r="J129" s="680"/>
      <c r="K129" s="584"/>
      <c r="L129" s="573"/>
      <c r="M129" s="573"/>
      <c r="N129" s="574"/>
      <c r="O129" s="626"/>
      <c r="P129" s="573"/>
      <c r="Q129" s="573"/>
      <c r="R129" s="627"/>
      <c r="S129" s="629">
        <f t="shared" si="22"/>
        <v>1</v>
      </c>
      <c r="T129" s="572">
        <v>1</v>
      </c>
      <c r="U129" s="570"/>
      <c r="V129" s="683"/>
    </row>
    <row r="130" spans="1:22" ht="12.75">
      <c r="A130" s="618">
        <v>121</v>
      </c>
      <c r="B130" s="888" t="s">
        <v>45</v>
      </c>
      <c r="C130" s="629">
        <f t="shared" si="21"/>
        <v>17.89</v>
      </c>
      <c r="D130" s="572">
        <f t="shared" si="21"/>
        <v>17.89</v>
      </c>
      <c r="E130" s="572">
        <f t="shared" si="21"/>
        <v>15.638</v>
      </c>
      <c r="F130" s="680"/>
      <c r="G130" s="629">
        <f t="shared" si="20"/>
        <v>17.69</v>
      </c>
      <c r="H130" s="572">
        <v>17.69</v>
      </c>
      <c r="I130" s="572">
        <v>15.638</v>
      </c>
      <c r="J130" s="683"/>
      <c r="K130" s="584"/>
      <c r="L130" s="573"/>
      <c r="M130" s="573"/>
      <c r="N130" s="574"/>
      <c r="O130" s="626"/>
      <c r="P130" s="573"/>
      <c r="Q130" s="573"/>
      <c r="R130" s="627"/>
      <c r="S130" s="629">
        <f t="shared" si="22"/>
        <v>0.2</v>
      </c>
      <c r="T130" s="572">
        <v>0.2</v>
      </c>
      <c r="U130" s="570"/>
      <c r="V130" s="683"/>
    </row>
    <row r="131" spans="1:22" ht="12.75">
      <c r="A131" s="618">
        <v>122</v>
      </c>
      <c r="B131" s="888" t="s">
        <v>46</v>
      </c>
      <c r="C131" s="629">
        <f t="shared" si="21"/>
        <v>30.528</v>
      </c>
      <c r="D131" s="572">
        <f t="shared" si="21"/>
        <v>30.528</v>
      </c>
      <c r="E131" s="572">
        <f t="shared" si="21"/>
        <v>23.044</v>
      </c>
      <c r="F131" s="680"/>
      <c r="G131" s="629">
        <f t="shared" si="20"/>
        <v>27.578</v>
      </c>
      <c r="H131" s="572">
        <v>27.578</v>
      </c>
      <c r="I131" s="572">
        <v>23.044</v>
      </c>
      <c r="J131" s="683"/>
      <c r="K131" s="584"/>
      <c r="L131" s="573"/>
      <c r="M131" s="573"/>
      <c r="N131" s="574"/>
      <c r="O131" s="626"/>
      <c r="P131" s="573"/>
      <c r="Q131" s="573"/>
      <c r="R131" s="627"/>
      <c r="S131" s="629">
        <f t="shared" si="22"/>
        <v>2.95</v>
      </c>
      <c r="T131" s="572">
        <v>2.95</v>
      </c>
      <c r="U131" s="572"/>
      <c r="V131" s="683"/>
    </row>
    <row r="132" spans="1:22" ht="12.75">
      <c r="A132" s="618">
        <v>123</v>
      </c>
      <c r="B132" s="888" t="s">
        <v>47</v>
      </c>
      <c r="C132" s="629">
        <f t="shared" si="21"/>
        <v>71.963</v>
      </c>
      <c r="D132" s="572">
        <f t="shared" si="21"/>
        <v>71.963</v>
      </c>
      <c r="E132" s="572">
        <f t="shared" si="21"/>
        <v>49.559</v>
      </c>
      <c r="F132" s="680"/>
      <c r="G132" s="629">
        <f t="shared" si="20"/>
        <v>71.963</v>
      </c>
      <c r="H132" s="572">
        <v>71.963</v>
      </c>
      <c r="I132" s="572">
        <v>49.559</v>
      </c>
      <c r="J132" s="683"/>
      <c r="K132" s="584"/>
      <c r="L132" s="573"/>
      <c r="M132" s="573"/>
      <c r="N132" s="574"/>
      <c r="O132" s="626"/>
      <c r="P132" s="573"/>
      <c r="Q132" s="573"/>
      <c r="R132" s="627"/>
      <c r="S132" s="629"/>
      <c r="T132" s="572"/>
      <c r="U132" s="570"/>
      <c r="V132" s="683"/>
    </row>
    <row r="133" spans="1:22" ht="12.75">
      <c r="A133" s="618">
        <v>124</v>
      </c>
      <c r="B133" s="888" t="s">
        <v>48</v>
      </c>
      <c r="C133" s="629">
        <f t="shared" si="21"/>
        <v>43.794</v>
      </c>
      <c r="D133" s="572">
        <f t="shared" si="21"/>
        <v>43.794</v>
      </c>
      <c r="E133" s="572">
        <f t="shared" si="21"/>
        <v>27.4</v>
      </c>
      <c r="F133" s="680"/>
      <c r="G133" s="629">
        <f t="shared" si="20"/>
        <v>43.794</v>
      </c>
      <c r="H133" s="572">
        <v>43.794</v>
      </c>
      <c r="I133" s="572">
        <v>27.4</v>
      </c>
      <c r="J133" s="683"/>
      <c r="K133" s="584"/>
      <c r="L133" s="573"/>
      <c r="M133" s="573"/>
      <c r="N133" s="574"/>
      <c r="O133" s="626"/>
      <c r="P133" s="573"/>
      <c r="Q133" s="573"/>
      <c r="R133" s="627"/>
      <c r="S133" s="629"/>
      <c r="T133" s="572"/>
      <c r="U133" s="570"/>
      <c r="V133" s="683"/>
    </row>
    <row r="134" spans="1:22" ht="12.75">
      <c r="A134" s="618">
        <v>125</v>
      </c>
      <c r="B134" s="888" t="s">
        <v>49</v>
      </c>
      <c r="C134" s="629">
        <f t="shared" si="21"/>
        <v>1.9</v>
      </c>
      <c r="D134" s="572">
        <f t="shared" si="21"/>
        <v>1.9</v>
      </c>
      <c r="E134" s="572"/>
      <c r="F134" s="680"/>
      <c r="G134" s="629">
        <f t="shared" si="20"/>
        <v>1.9</v>
      </c>
      <c r="H134" s="572">
        <v>1.9</v>
      </c>
      <c r="I134" s="572"/>
      <c r="J134" s="683"/>
      <c r="K134" s="584"/>
      <c r="L134" s="573"/>
      <c r="M134" s="573"/>
      <c r="N134" s="574"/>
      <c r="O134" s="626"/>
      <c r="P134" s="573"/>
      <c r="Q134" s="573"/>
      <c r="R134" s="627"/>
      <c r="S134" s="629"/>
      <c r="T134" s="572"/>
      <c r="U134" s="570"/>
      <c r="V134" s="683"/>
    </row>
    <row r="135" spans="1:22" ht="12.75">
      <c r="A135" s="618">
        <v>126</v>
      </c>
      <c r="B135" s="888" t="s">
        <v>73</v>
      </c>
      <c r="C135" s="629">
        <f t="shared" si="21"/>
        <v>66.23700000000001</v>
      </c>
      <c r="D135" s="572">
        <f t="shared" si="21"/>
        <v>66.23700000000001</v>
      </c>
      <c r="E135" s="572">
        <f>I135+M135+Q135+U135</f>
        <v>48.55</v>
      </c>
      <c r="F135" s="680"/>
      <c r="G135" s="629">
        <f t="shared" si="20"/>
        <v>64.73700000000001</v>
      </c>
      <c r="H135" s="572">
        <f>67.337-2.6</f>
        <v>64.73700000000001</v>
      </c>
      <c r="I135" s="572">
        <v>48.55</v>
      </c>
      <c r="J135" s="683"/>
      <c r="K135" s="584"/>
      <c r="L135" s="573"/>
      <c r="M135" s="573"/>
      <c r="N135" s="574"/>
      <c r="O135" s="626"/>
      <c r="P135" s="573"/>
      <c r="Q135" s="573"/>
      <c r="R135" s="627"/>
      <c r="S135" s="629">
        <f>T135+V135</f>
        <v>1.5</v>
      </c>
      <c r="T135" s="572">
        <v>1.5</v>
      </c>
      <c r="U135" s="570"/>
      <c r="V135" s="683"/>
    </row>
    <row r="136" spans="1:22" ht="12.75">
      <c r="A136" s="618">
        <v>127</v>
      </c>
      <c r="B136" s="888" t="s">
        <v>180</v>
      </c>
      <c r="C136" s="629">
        <f t="shared" si="21"/>
        <v>56.917</v>
      </c>
      <c r="D136" s="572">
        <f t="shared" si="21"/>
        <v>56.917</v>
      </c>
      <c r="E136" s="572">
        <f>I136+M136+Q136+U136</f>
        <v>43.444</v>
      </c>
      <c r="F136" s="680"/>
      <c r="G136" s="629">
        <f>+H136</f>
        <v>52.917</v>
      </c>
      <c r="H136" s="572">
        <v>52.917</v>
      </c>
      <c r="I136" s="572">
        <v>43.444</v>
      </c>
      <c r="J136" s="627"/>
      <c r="K136" s="584"/>
      <c r="L136" s="573"/>
      <c r="M136" s="573"/>
      <c r="N136" s="574"/>
      <c r="O136" s="626"/>
      <c r="P136" s="573"/>
      <c r="Q136" s="573"/>
      <c r="R136" s="627"/>
      <c r="S136" s="629">
        <f>T136+V136</f>
        <v>4</v>
      </c>
      <c r="T136" s="572">
        <v>4</v>
      </c>
      <c r="U136" s="572"/>
      <c r="V136" s="680"/>
    </row>
    <row r="137" spans="1:22" ht="13.5" thickBot="1">
      <c r="A137" s="646">
        <v>128</v>
      </c>
      <c r="B137" s="891" t="s">
        <v>640</v>
      </c>
      <c r="C137" s="898">
        <f t="shared" si="21"/>
        <v>30.624</v>
      </c>
      <c r="D137" s="899">
        <f t="shared" si="21"/>
        <v>30.624</v>
      </c>
      <c r="E137" s="899">
        <f>I137+M137+Q137+U137</f>
        <v>27.505</v>
      </c>
      <c r="F137" s="900"/>
      <c r="G137" s="684">
        <f>+H137</f>
        <v>30.424</v>
      </c>
      <c r="H137" s="591">
        <v>30.424</v>
      </c>
      <c r="I137" s="591">
        <v>27.505</v>
      </c>
      <c r="J137" s="694"/>
      <c r="K137" s="612"/>
      <c r="L137" s="604"/>
      <c r="M137" s="604"/>
      <c r="N137" s="613"/>
      <c r="O137" s="639"/>
      <c r="P137" s="604"/>
      <c r="Q137" s="604"/>
      <c r="R137" s="633"/>
      <c r="S137" s="629">
        <f>T137+V137</f>
        <v>0.2</v>
      </c>
      <c r="T137" s="577">
        <v>0.2</v>
      </c>
      <c r="U137" s="577"/>
      <c r="V137" s="720"/>
    </row>
    <row r="138" spans="1:22" ht="48" customHeight="1" thickBot="1">
      <c r="A138" s="644">
        <v>129</v>
      </c>
      <c r="B138" s="663" t="s">
        <v>246</v>
      </c>
      <c r="C138" s="894">
        <f t="shared" si="21"/>
        <v>5077.603999999999</v>
      </c>
      <c r="D138" s="895">
        <f t="shared" si="21"/>
        <v>5047.603999999999</v>
      </c>
      <c r="E138" s="895">
        <f>I138+M138+Q138+U138</f>
        <v>1475.56</v>
      </c>
      <c r="F138" s="896">
        <f>J138+N138+R138+V138</f>
        <v>30</v>
      </c>
      <c r="G138" s="686">
        <f>G139+SUM(G156:G167)+G169+G173</f>
        <v>3065.7719999999995</v>
      </c>
      <c r="H138" s="554">
        <f>H139+SUM(H156:H167)+H169+H173</f>
        <v>3035.7719999999995</v>
      </c>
      <c r="I138" s="555">
        <f>I139+SUM(I156:I167)+I169+I173</f>
        <v>596.215</v>
      </c>
      <c r="J138" s="687">
        <f>J139+SUM(J156:J167)+J169+J173</f>
        <v>30</v>
      </c>
      <c r="K138" s="560">
        <f>K139+SUM(K157:K167)+K173+K156</f>
        <v>1631.032</v>
      </c>
      <c r="L138" s="560">
        <f>L139+SUM(L157:L167)+L173+L156</f>
        <v>1631.032</v>
      </c>
      <c r="M138" s="560">
        <f>M139+SUM(M157:M167)+M173+M156</f>
        <v>622.7449999999999</v>
      </c>
      <c r="N138" s="605"/>
      <c r="O138" s="686"/>
      <c r="P138" s="555"/>
      <c r="Q138" s="555"/>
      <c r="R138" s="687"/>
      <c r="S138" s="686">
        <f>S139+SUM(S156:S167)+S169+S173</f>
        <v>380.8</v>
      </c>
      <c r="T138" s="555">
        <f>T156+T173</f>
        <v>380.8</v>
      </c>
      <c r="U138" s="555">
        <f>U156+U173</f>
        <v>256.6</v>
      </c>
      <c r="V138" s="687"/>
    </row>
    <row r="139" spans="1:22" ht="12.75">
      <c r="A139" s="615">
        <v>130</v>
      </c>
      <c r="B139" s="653" t="s">
        <v>192</v>
      </c>
      <c r="C139" s="561">
        <f t="shared" si="21"/>
        <v>2959.5999999999995</v>
      </c>
      <c r="D139" s="564">
        <f t="shared" si="21"/>
        <v>2929.5999999999995</v>
      </c>
      <c r="E139" s="564"/>
      <c r="F139" s="565">
        <f>J139+N139+R139+V139</f>
        <v>30</v>
      </c>
      <c r="G139" s="675">
        <f>SUM(G140:G155)</f>
        <v>2326.2999999999997</v>
      </c>
      <c r="H139" s="564">
        <f>SUM(H140:H155)</f>
        <v>2296.2999999999997</v>
      </c>
      <c r="I139" s="564"/>
      <c r="J139" s="695">
        <f>SUM(J140:J152)</f>
        <v>30</v>
      </c>
      <c r="K139" s="569">
        <f>SUM(K140:K150)</f>
        <v>633.3</v>
      </c>
      <c r="L139" s="564">
        <f>SUM(L140:L150)</f>
        <v>633.3</v>
      </c>
      <c r="M139" s="564"/>
      <c r="N139" s="597"/>
      <c r="O139" s="711"/>
      <c r="P139" s="598"/>
      <c r="Q139" s="598"/>
      <c r="R139" s="693"/>
      <c r="S139" s="711"/>
      <c r="T139" s="598"/>
      <c r="U139" s="598"/>
      <c r="V139" s="693"/>
    </row>
    <row r="140" spans="1:22" ht="12.75">
      <c r="A140" s="618">
        <v>131</v>
      </c>
      <c r="B140" s="641" t="s">
        <v>111</v>
      </c>
      <c r="C140" s="566">
        <f t="shared" si="21"/>
        <v>1589.6</v>
      </c>
      <c r="D140" s="573">
        <f t="shared" si="21"/>
        <v>1589.6</v>
      </c>
      <c r="E140" s="572"/>
      <c r="F140" s="583"/>
      <c r="G140" s="626">
        <f>H140+J140</f>
        <v>1589.6</v>
      </c>
      <c r="H140" s="573">
        <v>1589.6</v>
      </c>
      <c r="I140" s="573"/>
      <c r="J140" s="627"/>
      <c r="K140" s="584"/>
      <c r="L140" s="573"/>
      <c r="M140" s="573"/>
      <c r="N140" s="574"/>
      <c r="O140" s="626"/>
      <c r="P140" s="573"/>
      <c r="Q140" s="573"/>
      <c r="R140" s="627"/>
      <c r="S140" s="626"/>
      <c r="T140" s="573"/>
      <c r="U140" s="573"/>
      <c r="V140" s="627"/>
    </row>
    <row r="141" spans="1:22" ht="12.75">
      <c r="A141" s="618">
        <v>132</v>
      </c>
      <c r="B141" s="641" t="s">
        <v>112</v>
      </c>
      <c r="C141" s="566">
        <f t="shared" si="21"/>
        <v>30</v>
      </c>
      <c r="D141" s="573">
        <f t="shared" si="21"/>
        <v>30</v>
      </c>
      <c r="E141" s="572"/>
      <c r="F141" s="583"/>
      <c r="G141" s="626">
        <f>H141+J141</f>
        <v>30</v>
      </c>
      <c r="H141" s="573">
        <v>30</v>
      </c>
      <c r="I141" s="573"/>
      <c r="J141" s="627"/>
      <c r="K141" s="584"/>
      <c r="L141" s="573"/>
      <c r="M141" s="573"/>
      <c r="N141" s="574"/>
      <c r="O141" s="626"/>
      <c r="P141" s="573"/>
      <c r="Q141" s="573"/>
      <c r="R141" s="627"/>
      <c r="S141" s="626"/>
      <c r="T141" s="573"/>
      <c r="U141" s="573"/>
      <c r="V141" s="627"/>
    </row>
    <row r="142" spans="1:22" ht="12.75">
      <c r="A142" s="618">
        <v>133</v>
      </c>
      <c r="B142" s="641" t="s">
        <v>113</v>
      </c>
      <c r="C142" s="566">
        <f t="shared" si="21"/>
        <v>55</v>
      </c>
      <c r="D142" s="573">
        <f t="shared" si="21"/>
        <v>55</v>
      </c>
      <c r="E142" s="572"/>
      <c r="F142" s="583"/>
      <c r="G142" s="626">
        <f>H142+J142</f>
        <v>55</v>
      </c>
      <c r="H142" s="573">
        <v>55</v>
      </c>
      <c r="I142" s="573"/>
      <c r="J142" s="627"/>
      <c r="K142" s="584"/>
      <c r="L142" s="573"/>
      <c r="M142" s="573"/>
      <c r="N142" s="574"/>
      <c r="O142" s="626"/>
      <c r="P142" s="573"/>
      <c r="Q142" s="573"/>
      <c r="R142" s="627"/>
      <c r="S142" s="626"/>
      <c r="T142" s="573"/>
      <c r="U142" s="573"/>
      <c r="V142" s="627"/>
    </row>
    <row r="143" spans="1:22" ht="12.75">
      <c r="A143" s="618">
        <v>134</v>
      </c>
      <c r="B143" s="641" t="s">
        <v>114</v>
      </c>
      <c r="C143" s="566">
        <f t="shared" si="21"/>
        <v>5</v>
      </c>
      <c r="D143" s="573">
        <f t="shared" si="21"/>
        <v>5</v>
      </c>
      <c r="E143" s="572"/>
      <c r="F143" s="583"/>
      <c r="G143" s="626">
        <f>H143+J143</f>
        <v>5</v>
      </c>
      <c r="H143" s="573">
        <v>5</v>
      </c>
      <c r="I143" s="573"/>
      <c r="J143" s="627"/>
      <c r="K143" s="584"/>
      <c r="L143" s="573"/>
      <c r="M143" s="573"/>
      <c r="N143" s="574"/>
      <c r="O143" s="626"/>
      <c r="P143" s="573"/>
      <c r="Q143" s="573"/>
      <c r="R143" s="627"/>
      <c r="S143" s="626"/>
      <c r="T143" s="573"/>
      <c r="U143" s="573"/>
      <c r="V143" s="627"/>
    </row>
    <row r="144" spans="1:22" ht="12.75">
      <c r="A144" s="618">
        <v>135</v>
      </c>
      <c r="B144" s="657" t="s">
        <v>641</v>
      </c>
      <c r="C144" s="566">
        <f t="shared" si="21"/>
        <v>300</v>
      </c>
      <c r="D144" s="573">
        <f t="shared" si="21"/>
        <v>300</v>
      </c>
      <c r="E144" s="572"/>
      <c r="F144" s="583"/>
      <c r="G144" s="626">
        <f>H144+J144</f>
        <v>300</v>
      </c>
      <c r="H144" s="573">
        <v>300</v>
      </c>
      <c r="I144" s="573"/>
      <c r="J144" s="627"/>
      <c r="K144" s="584"/>
      <c r="L144" s="573"/>
      <c r="M144" s="573"/>
      <c r="N144" s="574"/>
      <c r="O144" s="626"/>
      <c r="P144" s="573"/>
      <c r="Q144" s="573"/>
      <c r="R144" s="627"/>
      <c r="S144" s="626"/>
      <c r="T144" s="573"/>
      <c r="U144" s="573"/>
      <c r="V144" s="627"/>
    </row>
    <row r="145" spans="1:22" ht="14.25" customHeight="1">
      <c r="A145" s="618">
        <v>136</v>
      </c>
      <c r="B145" s="544" t="s">
        <v>33</v>
      </c>
      <c r="C145" s="566">
        <f t="shared" si="21"/>
        <v>376</v>
      </c>
      <c r="D145" s="573">
        <f t="shared" si="21"/>
        <v>376</v>
      </c>
      <c r="E145" s="572"/>
      <c r="F145" s="583"/>
      <c r="G145" s="626"/>
      <c r="H145" s="573"/>
      <c r="I145" s="573"/>
      <c r="J145" s="627"/>
      <c r="K145" s="584">
        <f>L145+N145</f>
        <v>376</v>
      </c>
      <c r="L145" s="573">
        <v>376</v>
      </c>
      <c r="M145" s="573"/>
      <c r="N145" s="574"/>
      <c r="O145" s="626"/>
      <c r="P145" s="573"/>
      <c r="Q145" s="573"/>
      <c r="R145" s="627"/>
      <c r="S145" s="626"/>
      <c r="T145" s="573"/>
      <c r="U145" s="573"/>
      <c r="V145" s="627"/>
    </row>
    <row r="146" spans="1:22" ht="25.5" customHeight="1">
      <c r="A146" s="618">
        <v>137</v>
      </c>
      <c r="B146" s="134" t="s">
        <v>668</v>
      </c>
      <c r="C146" s="566">
        <f t="shared" si="21"/>
        <v>2</v>
      </c>
      <c r="D146" s="573">
        <f t="shared" si="21"/>
        <v>2</v>
      </c>
      <c r="E146" s="572"/>
      <c r="F146" s="583"/>
      <c r="G146" s="626">
        <f>H146+J146</f>
        <v>2</v>
      </c>
      <c r="H146" s="573">
        <v>2</v>
      </c>
      <c r="I146" s="573"/>
      <c r="J146" s="627"/>
      <c r="K146" s="584"/>
      <c r="L146" s="573"/>
      <c r="M146" s="573"/>
      <c r="N146" s="574"/>
      <c r="O146" s="626"/>
      <c r="P146" s="573"/>
      <c r="Q146" s="573"/>
      <c r="R146" s="627"/>
      <c r="S146" s="626"/>
      <c r="T146" s="573"/>
      <c r="U146" s="573"/>
      <c r="V146" s="627"/>
    </row>
    <row r="147" spans="1:22" ht="12.75">
      <c r="A147" s="618">
        <v>138</v>
      </c>
      <c r="B147" s="641" t="s">
        <v>117</v>
      </c>
      <c r="C147" s="566">
        <f t="shared" si="21"/>
        <v>257.3</v>
      </c>
      <c r="D147" s="573">
        <f t="shared" si="21"/>
        <v>257.3</v>
      </c>
      <c r="E147" s="572"/>
      <c r="F147" s="583"/>
      <c r="G147" s="626"/>
      <c r="H147" s="573"/>
      <c r="I147" s="573"/>
      <c r="J147" s="627"/>
      <c r="K147" s="584">
        <f>L147+N147</f>
        <v>257.3</v>
      </c>
      <c r="L147" s="573">
        <v>257.3</v>
      </c>
      <c r="M147" s="573"/>
      <c r="N147" s="574"/>
      <c r="O147" s="626"/>
      <c r="P147" s="573"/>
      <c r="Q147" s="573"/>
      <c r="R147" s="627"/>
      <c r="S147" s="626"/>
      <c r="T147" s="573"/>
      <c r="U147" s="573"/>
      <c r="V147" s="627"/>
    </row>
    <row r="148" spans="1:22" ht="12.75">
      <c r="A148" s="618">
        <v>139</v>
      </c>
      <c r="B148" s="641" t="s">
        <v>118</v>
      </c>
      <c r="C148" s="566">
        <f t="shared" si="21"/>
        <v>247.2</v>
      </c>
      <c r="D148" s="573">
        <f t="shared" si="21"/>
        <v>247.2</v>
      </c>
      <c r="E148" s="572"/>
      <c r="F148" s="583"/>
      <c r="G148" s="626">
        <f>H148+J148</f>
        <v>247.2</v>
      </c>
      <c r="H148" s="573">
        <f>270-37.8+15</f>
        <v>247.2</v>
      </c>
      <c r="I148" s="573"/>
      <c r="J148" s="627"/>
      <c r="K148" s="584"/>
      <c r="L148" s="573"/>
      <c r="M148" s="573"/>
      <c r="N148" s="574"/>
      <c r="O148" s="626"/>
      <c r="P148" s="573"/>
      <c r="Q148" s="573"/>
      <c r="R148" s="627"/>
      <c r="S148" s="626"/>
      <c r="T148" s="573"/>
      <c r="U148" s="573"/>
      <c r="V148" s="627"/>
    </row>
    <row r="149" spans="1:22" ht="26.25" customHeight="1">
      <c r="A149" s="647">
        <v>140</v>
      </c>
      <c r="B149" s="655" t="s">
        <v>119</v>
      </c>
      <c r="C149" s="648">
        <f t="shared" si="21"/>
        <v>17</v>
      </c>
      <c r="D149" s="606">
        <f t="shared" si="21"/>
        <v>17</v>
      </c>
      <c r="E149" s="607"/>
      <c r="F149" s="670"/>
      <c r="G149" s="696">
        <f>H149+J149</f>
        <v>17</v>
      </c>
      <c r="H149" s="606">
        <v>17</v>
      </c>
      <c r="I149" s="608"/>
      <c r="J149" s="697"/>
      <c r="K149" s="584"/>
      <c r="L149" s="608"/>
      <c r="M149" s="608"/>
      <c r="N149" s="609"/>
      <c r="O149" s="712"/>
      <c r="P149" s="608"/>
      <c r="Q149" s="608"/>
      <c r="R149" s="697"/>
      <c r="S149" s="721"/>
      <c r="T149" s="608"/>
      <c r="U149" s="608"/>
      <c r="V149" s="697"/>
    </row>
    <row r="150" spans="1:22" ht="39" customHeight="1">
      <c r="A150" s="618">
        <v>141</v>
      </c>
      <c r="B150" s="656" t="s">
        <v>642</v>
      </c>
      <c r="C150" s="566">
        <f>G150+K150+O150+S150</f>
        <v>30</v>
      </c>
      <c r="D150" s="566"/>
      <c r="E150" s="566"/>
      <c r="F150" s="566">
        <f>+J150</f>
        <v>30</v>
      </c>
      <c r="G150" s="696">
        <f aca="true" t="shared" si="23" ref="G150:G156">H150+J150</f>
        <v>30</v>
      </c>
      <c r="H150" s="573"/>
      <c r="I150" s="573"/>
      <c r="J150" s="627">
        <v>30</v>
      </c>
      <c r="K150" s="584"/>
      <c r="L150" s="573"/>
      <c r="M150" s="573"/>
      <c r="N150" s="574"/>
      <c r="O150" s="626"/>
      <c r="P150" s="573"/>
      <c r="Q150" s="573"/>
      <c r="R150" s="683" t="s">
        <v>643</v>
      </c>
      <c r="S150" s="626"/>
      <c r="T150" s="573"/>
      <c r="U150" s="573"/>
      <c r="V150" s="627"/>
    </row>
    <row r="151" spans="1:22" ht="15" customHeight="1">
      <c r="A151" s="618">
        <v>142</v>
      </c>
      <c r="B151" s="655" t="s">
        <v>120</v>
      </c>
      <c r="C151" s="566">
        <f aca="true" t="shared" si="24" ref="C151:E174">G151+K151+O151+S151</f>
        <v>6.1</v>
      </c>
      <c r="D151" s="606">
        <f t="shared" si="24"/>
        <v>6.1</v>
      </c>
      <c r="E151" s="572"/>
      <c r="F151" s="588"/>
      <c r="G151" s="696">
        <f t="shared" si="23"/>
        <v>6.1</v>
      </c>
      <c r="H151" s="573">
        <v>6.1</v>
      </c>
      <c r="I151" s="573"/>
      <c r="J151" s="627"/>
      <c r="K151" s="584"/>
      <c r="L151" s="573"/>
      <c r="M151" s="573"/>
      <c r="N151" s="574"/>
      <c r="O151" s="626"/>
      <c r="P151" s="573"/>
      <c r="Q151" s="573"/>
      <c r="R151" s="627"/>
      <c r="S151" s="626"/>
      <c r="T151" s="573"/>
      <c r="U151" s="573"/>
      <c r="V151" s="627"/>
    </row>
    <row r="152" spans="1:22" ht="26.25" customHeight="1">
      <c r="A152" s="618">
        <v>143</v>
      </c>
      <c r="B152" s="655" t="s">
        <v>288</v>
      </c>
      <c r="C152" s="566">
        <f t="shared" si="24"/>
        <v>20</v>
      </c>
      <c r="D152" s="606">
        <f t="shared" si="24"/>
        <v>20</v>
      </c>
      <c r="E152" s="572"/>
      <c r="F152" s="588"/>
      <c r="G152" s="696">
        <f t="shared" si="23"/>
        <v>20</v>
      </c>
      <c r="H152" s="573">
        <v>20</v>
      </c>
      <c r="I152" s="573"/>
      <c r="J152" s="627"/>
      <c r="K152" s="584"/>
      <c r="L152" s="573"/>
      <c r="M152" s="573"/>
      <c r="N152" s="574"/>
      <c r="O152" s="626"/>
      <c r="P152" s="573"/>
      <c r="Q152" s="573"/>
      <c r="R152" s="627"/>
      <c r="S152" s="626"/>
      <c r="T152" s="573"/>
      <c r="U152" s="573"/>
      <c r="V152" s="627"/>
    </row>
    <row r="153" spans="1:22" ht="12.75" customHeight="1">
      <c r="A153" s="618">
        <v>144</v>
      </c>
      <c r="B153" s="544" t="s">
        <v>307</v>
      </c>
      <c r="C153" s="566">
        <f t="shared" si="24"/>
        <v>18</v>
      </c>
      <c r="D153" s="606">
        <f t="shared" si="24"/>
        <v>18</v>
      </c>
      <c r="E153" s="572"/>
      <c r="F153" s="588"/>
      <c r="G153" s="696">
        <f t="shared" si="23"/>
        <v>18</v>
      </c>
      <c r="H153" s="573">
        <v>18</v>
      </c>
      <c r="I153" s="573"/>
      <c r="J153" s="627"/>
      <c r="K153" s="584"/>
      <c r="L153" s="573"/>
      <c r="M153" s="573"/>
      <c r="N153" s="574"/>
      <c r="O153" s="626"/>
      <c r="P153" s="573"/>
      <c r="Q153" s="573"/>
      <c r="R153" s="627"/>
      <c r="S153" s="626"/>
      <c r="T153" s="573"/>
      <c r="U153" s="573"/>
      <c r="V153" s="627"/>
    </row>
    <row r="154" spans="1:22" ht="24.75" customHeight="1">
      <c r="A154" s="618">
        <v>145</v>
      </c>
      <c r="B154" s="610" t="s">
        <v>308</v>
      </c>
      <c r="C154" s="566">
        <f t="shared" si="24"/>
        <v>6.1</v>
      </c>
      <c r="D154" s="606">
        <f t="shared" si="24"/>
        <v>6.1</v>
      </c>
      <c r="E154" s="572"/>
      <c r="F154" s="588"/>
      <c r="G154" s="696">
        <f t="shared" si="23"/>
        <v>6.1</v>
      </c>
      <c r="H154" s="573">
        <v>6.1</v>
      </c>
      <c r="I154" s="573"/>
      <c r="J154" s="627"/>
      <c r="K154" s="584"/>
      <c r="L154" s="573"/>
      <c r="M154" s="573"/>
      <c r="N154" s="574"/>
      <c r="O154" s="626"/>
      <c r="P154" s="573"/>
      <c r="Q154" s="573"/>
      <c r="R154" s="627"/>
      <c r="S154" s="626"/>
      <c r="T154" s="573"/>
      <c r="U154" s="573"/>
      <c r="V154" s="627"/>
    </row>
    <row r="155" spans="1:22" ht="12.75">
      <c r="A155" s="618">
        <v>146</v>
      </c>
      <c r="B155" s="641" t="s">
        <v>122</v>
      </c>
      <c r="C155" s="566">
        <f t="shared" si="24"/>
        <v>0.3</v>
      </c>
      <c r="D155" s="606">
        <f t="shared" si="24"/>
        <v>0.3</v>
      </c>
      <c r="E155" s="572"/>
      <c r="F155" s="588"/>
      <c r="G155" s="696">
        <f t="shared" si="23"/>
        <v>0.3</v>
      </c>
      <c r="H155" s="573">
        <v>0.3</v>
      </c>
      <c r="I155" s="573"/>
      <c r="J155" s="627"/>
      <c r="K155" s="584"/>
      <c r="L155" s="573"/>
      <c r="M155" s="573"/>
      <c r="N155" s="574"/>
      <c r="O155" s="626"/>
      <c r="P155" s="573"/>
      <c r="Q155" s="573"/>
      <c r="R155" s="627"/>
      <c r="S155" s="626"/>
      <c r="T155" s="573"/>
      <c r="U155" s="573"/>
      <c r="V155" s="627"/>
    </row>
    <row r="156" spans="1:22" ht="12.75">
      <c r="A156" s="618">
        <v>147</v>
      </c>
      <c r="B156" s="642" t="s">
        <v>72</v>
      </c>
      <c r="C156" s="576">
        <f t="shared" si="24"/>
        <v>1132.375</v>
      </c>
      <c r="D156" s="572">
        <f t="shared" si="24"/>
        <v>1132.375</v>
      </c>
      <c r="E156" s="572">
        <f>I156+M156+Q156+U156</f>
        <v>942.7080000000001</v>
      </c>
      <c r="F156" s="583"/>
      <c r="G156" s="698">
        <f t="shared" si="23"/>
        <v>654.875</v>
      </c>
      <c r="H156" s="572">
        <f>664.075-9.2</f>
        <v>654.875</v>
      </c>
      <c r="I156" s="572">
        <f>586.57-3.5</f>
        <v>583.07</v>
      </c>
      <c r="J156" s="680"/>
      <c r="K156" s="576">
        <f aca="true" t="shared" si="25" ref="K156:K168">L156+N156</f>
        <v>402.5</v>
      </c>
      <c r="L156" s="572">
        <v>402.5</v>
      </c>
      <c r="M156" s="572">
        <v>314.638</v>
      </c>
      <c r="N156" s="574"/>
      <c r="O156" s="626"/>
      <c r="P156" s="573"/>
      <c r="Q156" s="573"/>
      <c r="R156" s="627"/>
      <c r="S156" s="629">
        <f>T156+V156</f>
        <v>75</v>
      </c>
      <c r="T156" s="572">
        <v>75</v>
      </c>
      <c r="U156" s="572">
        <v>45</v>
      </c>
      <c r="V156" s="680"/>
    </row>
    <row r="157" spans="1:22" ht="12.75">
      <c r="A157" s="618">
        <v>148</v>
      </c>
      <c r="B157" s="642" t="s">
        <v>42</v>
      </c>
      <c r="C157" s="576">
        <f t="shared" si="24"/>
        <v>26.52</v>
      </c>
      <c r="D157" s="572">
        <f t="shared" si="24"/>
        <v>26.52</v>
      </c>
      <c r="E157" s="572"/>
      <c r="F157" s="583"/>
      <c r="G157" s="629"/>
      <c r="H157" s="570"/>
      <c r="I157" s="570"/>
      <c r="J157" s="683"/>
      <c r="K157" s="576">
        <f t="shared" si="25"/>
        <v>26.52</v>
      </c>
      <c r="L157" s="572">
        <v>26.52</v>
      </c>
      <c r="M157" s="572"/>
      <c r="N157" s="588"/>
      <c r="O157" s="626"/>
      <c r="P157" s="573"/>
      <c r="Q157" s="573"/>
      <c r="R157" s="627"/>
      <c r="S157" s="626"/>
      <c r="T157" s="573"/>
      <c r="U157" s="573"/>
      <c r="V157" s="627"/>
    </row>
    <row r="158" spans="1:22" ht="12.75">
      <c r="A158" s="618">
        <v>149</v>
      </c>
      <c r="B158" s="642" t="s">
        <v>43</v>
      </c>
      <c r="C158" s="576">
        <f t="shared" si="24"/>
        <v>10.608</v>
      </c>
      <c r="D158" s="572">
        <f t="shared" si="24"/>
        <v>10.608</v>
      </c>
      <c r="E158" s="572"/>
      <c r="F158" s="583"/>
      <c r="G158" s="629"/>
      <c r="H158" s="570"/>
      <c r="I158" s="570"/>
      <c r="J158" s="683"/>
      <c r="K158" s="576">
        <f t="shared" si="25"/>
        <v>10.608</v>
      </c>
      <c r="L158" s="572">
        <v>10.608</v>
      </c>
      <c r="M158" s="572"/>
      <c r="N158" s="588"/>
      <c r="O158" s="626"/>
      <c r="P158" s="573"/>
      <c r="Q158" s="573"/>
      <c r="R158" s="627"/>
      <c r="S158" s="626"/>
      <c r="T158" s="573"/>
      <c r="U158" s="573"/>
      <c r="V158" s="627"/>
    </row>
    <row r="159" spans="1:22" ht="12.75">
      <c r="A159" s="618">
        <v>150</v>
      </c>
      <c r="B159" s="642" t="s">
        <v>44</v>
      </c>
      <c r="C159" s="576">
        <f t="shared" si="24"/>
        <v>11.856</v>
      </c>
      <c r="D159" s="572">
        <f t="shared" si="24"/>
        <v>11.856</v>
      </c>
      <c r="E159" s="572"/>
      <c r="F159" s="583"/>
      <c r="G159" s="629"/>
      <c r="H159" s="570"/>
      <c r="I159" s="570"/>
      <c r="J159" s="683"/>
      <c r="K159" s="576">
        <f t="shared" si="25"/>
        <v>11.856</v>
      </c>
      <c r="L159" s="572">
        <v>11.856</v>
      </c>
      <c r="M159" s="572"/>
      <c r="N159" s="588"/>
      <c r="O159" s="626"/>
      <c r="P159" s="573"/>
      <c r="Q159" s="573"/>
      <c r="R159" s="627"/>
      <c r="S159" s="626"/>
      <c r="T159" s="573"/>
      <c r="U159" s="573"/>
      <c r="V159" s="627"/>
    </row>
    <row r="160" spans="1:22" ht="12.75">
      <c r="A160" s="618">
        <v>151</v>
      </c>
      <c r="B160" s="642" t="s">
        <v>45</v>
      </c>
      <c r="C160" s="576">
        <f t="shared" si="24"/>
        <v>4.68</v>
      </c>
      <c r="D160" s="572">
        <f t="shared" si="24"/>
        <v>4.68</v>
      </c>
      <c r="E160" s="572"/>
      <c r="F160" s="583"/>
      <c r="G160" s="629"/>
      <c r="H160" s="570"/>
      <c r="I160" s="570"/>
      <c r="J160" s="683"/>
      <c r="K160" s="576">
        <f t="shared" si="25"/>
        <v>4.68</v>
      </c>
      <c r="L160" s="572">
        <v>4.68</v>
      </c>
      <c r="M160" s="572"/>
      <c r="N160" s="588"/>
      <c r="O160" s="626"/>
      <c r="P160" s="573"/>
      <c r="Q160" s="573"/>
      <c r="R160" s="627"/>
      <c r="S160" s="626"/>
      <c r="T160" s="573"/>
      <c r="U160" s="573"/>
      <c r="V160" s="627"/>
    </row>
    <row r="161" spans="1:22" ht="12.75">
      <c r="A161" s="618">
        <v>152</v>
      </c>
      <c r="B161" s="642" t="s">
        <v>46</v>
      </c>
      <c r="C161" s="576">
        <f t="shared" si="24"/>
        <v>7.488</v>
      </c>
      <c r="D161" s="572">
        <f t="shared" si="24"/>
        <v>7.488</v>
      </c>
      <c r="E161" s="572"/>
      <c r="F161" s="583"/>
      <c r="G161" s="629"/>
      <c r="H161" s="570"/>
      <c r="I161" s="570"/>
      <c r="J161" s="683"/>
      <c r="K161" s="576">
        <f t="shared" si="25"/>
        <v>7.488</v>
      </c>
      <c r="L161" s="572">
        <v>7.488</v>
      </c>
      <c r="M161" s="572"/>
      <c r="N161" s="588"/>
      <c r="O161" s="626"/>
      <c r="P161" s="573"/>
      <c r="Q161" s="573"/>
      <c r="R161" s="627"/>
      <c r="S161" s="626"/>
      <c r="T161" s="573"/>
      <c r="U161" s="573"/>
      <c r="V161" s="627"/>
    </row>
    <row r="162" spans="1:22" ht="12.75">
      <c r="A162" s="618">
        <v>153</v>
      </c>
      <c r="B162" s="642" t="s">
        <v>47</v>
      </c>
      <c r="C162" s="576">
        <f t="shared" si="24"/>
        <v>20.904</v>
      </c>
      <c r="D162" s="572">
        <f t="shared" si="24"/>
        <v>20.904</v>
      </c>
      <c r="E162" s="572"/>
      <c r="F162" s="583"/>
      <c r="G162" s="629"/>
      <c r="H162" s="570"/>
      <c r="I162" s="570"/>
      <c r="J162" s="683"/>
      <c r="K162" s="576">
        <f t="shared" si="25"/>
        <v>20.904</v>
      </c>
      <c r="L162" s="572">
        <v>20.904</v>
      </c>
      <c r="M162" s="572"/>
      <c r="N162" s="588"/>
      <c r="O162" s="626"/>
      <c r="P162" s="573"/>
      <c r="Q162" s="573"/>
      <c r="R162" s="627"/>
      <c r="S162" s="626"/>
      <c r="T162" s="573"/>
      <c r="U162" s="573"/>
      <c r="V162" s="627"/>
    </row>
    <row r="163" spans="1:22" ht="12.75">
      <c r="A163" s="618">
        <v>154</v>
      </c>
      <c r="B163" s="642" t="s">
        <v>48</v>
      </c>
      <c r="C163" s="576">
        <f t="shared" si="24"/>
        <v>19.344</v>
      </c>
      <c r="D163" s="572">
        <f t="shared" si="24"/>
        <v>19.344</v>
      </c>
      <c r="E163" s="572"/>
      <c r="F163" s="583"/>
      <c r="G163" s="629"/>
      <c r="H163" s="570"/>
      <c r="I163" s="570"/>
      <c r="J163" s="683"/>
      <c r="K163" s="576">
        <f t="shared" si="25"/>
        <v>19.344</v>
      </c>
      <c r="L163" s="572">
        <v>19.344</v>
      </c>
      <c r="M163" s="572"/>
      <c r="N163" s="588"/>
      <c r="O163" s="626"/>
      <c r="P163" s="573"/>
      <c r="Q163" s="573"/>
      <c r="R163" s="627"/>
      <c r="S163" s="626"/>
      <c r="T163" s="573"/>
      <c r="U163" s="573"/>
      <c r="V163" s="627"/>
    </row>
    <row r="164" spans="1:22" ht="12.75">
      <c r="A164" s="618">
        <v>155</v>
      </c>
      <c r="B164" s="642" t="s">
        <v>49</v>
      </c>
      <c r="C164" s="576">
        <f t="shared" si="24"/>
        <v>6.552</v>
      </c>
      <c r="D164" s="572">
        <f t="shared" si="24"/>
        <v>6.552</v>
      </c>
      <c r="E164" s="572"/>
      <c r="F164" s="583"/>
      <c r="G164" s="629"/>
      <c r="H164" s="570"/>
      <c r="I164" s="570"/>
      <c r="J164" s="683"/>
      <c r="K164" s="576">
        <f t="shared" si="25"/>
        <v>6.552</v>
      </c>
      <c r="L164" s="572">
        <v>6.552</v>
      </c>
      <c r="M164" s="572"/>
      <c r="N164" s="588"/>
      <c r="O164" s="626"/>
      <c r="P164" s="573"/>
      <c r="Q164" s="573"/>
      <c r="R164" s="627"/>
      <c r="S164" s="626"/>
      <c r="T164" s="573"/>
      <c r="U164" s="573"/>
      <c r="V164" s="627"/>
    </row>
    <row r="165" spans="1:22" ht="12.75">
      <c r="A165" s="618">
        <v>156</v>
      </c>
      <c r="B165" s="642" t="s">
        <v>73</v>
      </c>
      <c r="C165" s="576">
        <f t="shared" si="24"/>
        <v>36.727999999999994</v>
      </c>
      <c r="D165" s="572">
        <f t="shared" si="24"/>
        <v>36.727999999999994</v>
      </c>
      <c r="E165" s="572"/>
      <c r="F165" s="583"/>
      <c r="G165" s="629">
        <f>H165+J165</f>
        <v>1.16</v>
      </c>
      <c r="H165" s="572">
        <v>1.16</v>
      </c>
      <c r="I165" s="570"/>
      <c r="J165" s="683"/>
      <c r="K165" s="576">
        <f t="shared" si="25"/>
        <v>35.568</v>
      </c>
      <c r="L165" s="572">
        <v>35.568</v>
      </c>
      <c r="M165" s="572"/>
      <c r="N165" s="588"/>
      <c r="O165" s="626"/>
      <c r="P165" s="573"/>
      <c r="Q165" s="573"/>
      <c r="R165" s="627"/>
      <c r="S165" s="626"/>
      <c r="T165" s="573"/>
      <c r="U165" s="573"/>
      <c r="V165" s="627"/>
    </row>
    <row r="166" spans="1:22" ht="12.75">
      <c r="A166" s="618">
        <v>157</v>
      </c>
      <c r="B166" s="642" t="s">
        <v>51</v>
      </c>
      <c r="C166" s="576">
        <f t="shared" si="24"/>
        <v>62.712</v>
      </c>
      <c r="D166" s="572">
        <f t="shared" si="24"/>
        <v>62.712</v>
      </c>
      <c r="E166" s="572"/>
      <c r="F166" s="583"/>
      <c r="G166" s="629"/>
      <c r="H166" s="570"/>
      <c r="I166" s="570"/>
      <c r="J166" s="683"/>
      <c r="K166" s="576">
        <f t="shared" si="25"/>
        <v>62.712</v>
      </c>
      <c r="L166" s="572">
        <v>62.712</v>
      </c>
      <c r="M166" s="572"/>
      <c r="N166" s="588"/>
      <c r="O166" s="626"/>
      <c r="P166" s="573"/>
      <c r="Q166" s="573"/>
      <c r="R166" s="627"/>
      <c r="S166" s="626"/>
      <c r="T166" s="573"/>
      <c r="U166" s="573"/>
      <c r="V166" s="627"/>
    </row>
    <row r="167" spans="1:22" ht="12.75">
      <c r="A167" s="618">
        <v>158</v>
      </c>
      <c r="B167" s="642" t="s">
        <v>187</v>
      </c>
      <c r="C167" s="576">
        <f t="shared" si="24"/>
        <v>136.2</v>
      </c>
      <c r="D167" s="572">
        <f t="shared" si="24"/>
        <v>136.2</v>
      </c>
      <c r="E167" s="572">
        <f>I167+M167+Q167+U167</f>
        <v>133.307</v>
      </c>
      <c r="F167" s="583"/>
      <c r="G167" s="679"/>
      <c r="H167" s="573"/>
      <c r="I167" s="573"/>
      <c r="J167" s="676"/>
      <c r="K167" s="580">
        <f>L167+N167</f>
        <v>136.2</v>
      </c>
      <c r="L167" s="572">
        <f>L168</f>
        <v>136.2</v>
      </c>
      <c r="M167" s="572">
        <f>M168</f>
        <v>133.307</v>
      </c>
      <c r="N167" s="585"/>
      <c r="O167" s="679"/>
      <c r="P167" s="573"/>
      <c r="Q167" s="573"/>
      <c r="R167" s="676"/>
      <c r="S167" s="679"/>
      <c r="T167" s="573"/>
      <c r="U167" s="573"/>
      <c r="V167" s="676"/>
    </row>
    <row r="168" spans="1:22" ht="12.75">
      <c r="A168" s="618">
        <v>159</v>
      </c>
      <c r="B168" s="641" t="s">
        <v>644</v>
      </c>
      <c r="C168" s="566">
        <f t="shared" si="24"/>
        <v>136.2</v>
      </c>
      <c r="D168" s="570">
        <f t="shared" si="24"/>
        <v>136.2</v>
      </c>
      <c r="E168" s="570">
        <f>I168+M168+Q168+U168</f>
        <v>133.307</v>
      </c>
      <c r="F168" s="583"/>
      <c r="G168" s="679"/>
      <c r="H168" s="577"/>
      <c r="I168" s="572"/>
      <c r="J168" s="677"/>
      <c r="K168" s="582">
        <f t="shared" si="25"/>
        <v>136.2</v>
      </c>
      <c r="L168" s="570">
        <v>136.2</v>
      </c>
      <c r="M168" s="570">
        <v>133.307</v>
      </c>
      <c r="N168" s="585"/>
      <c r="O168" s="679"/>
      <c r="P168" s="573"/>
      <c r="Q168" s="573"/>
      <c r="R168" s="676"/>
      <c r="S168" s="679"/>
      <c r="T168" s="573"/>
      <c r="U168" s="573"/>
      <c r="V168" s="676"/>
    </row>
    <row r="169" spans="1:22" ht="12.75">
      <c r="A169" s="618">
        <v>160</v>
      </c>
      <c r="B169" s="642" t="s">
        <v>624</v>
      </c>
      <c r="C169" s="576">
        <f t="shared" si="24"/>
        <v>65.1</v>
      </c>
      <c r="D169" s="572">
        <f t="shared" si="24"/>
        <v>65.1</v>
      </c>
      <c r="E169" s="572"/>
      <c r="F169" s="583"/>
      <c r="G169" s="628">
        <f>G170+G171+G172</f>
        <v>65.1</v>
      </c>
      <c r="H169" s="579">
        <f>H170+H171+H172</f>
        <v>65.1</v>
      </c>
      <c r="I169" s="584"/>
      <c r="J169" s="676"/>
      <c r="K169" s="585"/>
      <c r="L169" s="573"/>
      <c r="M169" s="573"/>
      <c r="N169" s="585"/>
      <c r="O169" s="679"/>
      <c r="P169" s="573"/>
      <c r="Q169" s="573"/>
      <c r="R169" s="676"/>
      <c r="S169" s="679"/>
      <c r="T169" s="573"/>
      <c r="U169" s="573"/>
      <c r="V169" s="676"/>
    </row>
    <row r="170" spans="1:22" ht="12.75">
      <c r="A170" s="618">
        <f>+A169+1</f>
        <v>161</v>
      </c>
      <c r="B170" s="641" t="s">
        <v>128</v>
      </c>
      <c r="C170" s="566">
        <f t="shared" si="24"/>
        <v>55</v>
      </c>
      <c r="D170" s="573">
        <f t="shared" si="24"/>
        <v>55</v>
      </c>
      <c r="E170" s="573"/>
      <c r="F170" s="574"/>
      <c r="G170" s="679">
        <f>H170+J170</f>
        <v>55</v>
      </c>
      <c r="H170" s="598">
        <v>55</v>
      </c>
      <c r="I170" s="573"/>
      <c r="J170" s="676"/>
      <c r="K170" s="585"/>
      <c r="L170" s="573"/>
      <c r="M170" s="573"/>
      <c r="N170" s="585"/>
      <c r="O170" s="679"/>
      <c r="P170" s="573"/>
      <c r="Q170" s="573"/>
      <c r="R170" s="676"/>
      <c r="S170" s="679"/>
      <c r="T170" s="573"/>
      <c r="U170" s="573"/>
      <c r="V170" s="676"/>
    </row>
    <row r="171" spans="1:22" ht="12.75">
      <c r="A171" s="618">
        <v>162</v>
      </c>
      <c r="B171" s="641" t="s">
        <v>130</v>
      </c>
      <c r="C171" s="566">
        <f t="shared" si="24"/>
        <v>0.1</v>
      </c>
      <c r="D171" s="573">
        <f t="shared" si="24"/>
        <v>0.1</v>
      </c>
      <c r="E171" s="573"/>
      <c r="F171" s="574"/>
      <c r="G171" s="679">
        <f>H171+J171</f>
        <v>0.1</v>
      </c>
      <c r="H171" s="573">
        <v>0.1</v>
      </c>
      <c r="I171" s="573"/>
      <c r="J171" s="676"/>
      <c r="K171" s="585"/>
      <c r="L171" s="604"/>
      <c r="M171" s="604"/>
      <c r="N171" s="585"/>
      <c r="O171" s="679"/>
      <c r="P171" s="573"/>
      <c r="Q171" s="573"/>
      <c r="R171" s="676"/>
      <c r="S171" s="679"/>
      <c r="T171" s="604"/>
      <c r="U171" s="604"/>
      <c r="V171" s="676"/>
    </row>
    <row r="172" spans="1:22" ht="14.25" customHeight="1">
      <c r="A172" s="618">
        <v>163</v>
      </c>
      <c r="B172" s="544" t="s">
        <v>309</v>
      </c>
      <c r="C172" s="566">
        <f t="shared" si="24"/>
        <v>10</v>
      </c>
      <c r="D172" s="573">
        <f t="shared" si="24"/>
        <v>10</v>
      </c>
      <c r="E172" s="573"/>
      <c r="F172" s="574"/>
      <c r="G172" s="679">
        <f>H172+J172</f>
        <v>10</v>
      </c>
      <c r="H172" s="573">
        <v>10</v>
      </c>
      <c r="I172" s="573"/>
      <c r="J172" s="676"/>
      <c r="K172" s="585"/>
      <c r="L172" s="611"/>
      <c r="M172" s="611"/>
      <c r="N172" s="585"/>
      <c r="O172" s="679"/>
      <c r="P172" s="573"/>
      <c r="Q172" s="573"/>
      <c r="R172" s="676"/>
      <c r="S172" s="679"/>
      <c r="T172" s="611"/>
      <c r="U172" s="611"/>
      <c r="V172" s="676"/>
    </row>
    <row r="173" spans="1:22" ht="12.75">
      <c r="A173" s="618">
        <v>164</v>
      </c>
      <c r="B173" s="642" t="s">
        <v>41</v>
      </c>
      <c r="C173" s="576">
        <f t="shared" si="24"/>
        <v>576.937</v>
      </c>
      <c r="D173" s="572">
        <f t="shared" si="24"/>
        <v>576.937</v>
      </c>
      <c r="E173" s="572">
        <f>I173+M173+Q173+U173</f>
        <v>399.545</v>
      </c>
      <c r="F173" s="583"/>
      <c r="G173" s="628">
        <f>H173+J173</f>
        <v>18.337</v>
      </c>
      <c r="H173" s="572">
        <v>18.337</v>
      </c>
      <c r="I173" s="572">
        <v>13.145</v>
      </c>
      <c r="J173" s="627"/>
      <c r="K173" s="580">
        <f>L173+N173</f>
        <v>252.8</v>
      </c>
      <c r="L173" s="542">
        <v>252.8</v>
      </c>
      <c r="M173" s="542">
        <v>174.8</v>
      </c>
      <c r="N173" s="574"/>
      <c r="O173" s="626"/>
      <c r="P173" s="573"/>
      <c r="Q173" s="573"/>
      <c r="R173" s="627"/>
      <c r="S173" s="629">
        <f>T173+V173</f>
        <v>305.8</v>
      </c>
      <c r="T173" s="542">
        <v>305.8</v>
      </c>
      <c r="U173" s="542">
        <v>211.6</v>
      </c>
      <c r="V173" s="627"/>
    </row>
    <row r="174" spans="1:22" ht="13.5" thickBot="1">
      <c r="A174" s="646">
        <v>165</v>
      </c>
      <c r="B174" s="664" t="s">
        <v>645</v>
      </c>
      <c r="C174" s="649">
        <f t="shared" si="24"/>
        <v>304.437</v>
      </c>
      <c r="D174" s="604">
        <f t="shared" si="24"/>
        <v>304.437</v>
      </c>
      <c r="E174" s="604">
        <f t="shared" si="24"/>
        <v>251.645</v>
      </c>
      <c r="F174" s="613"/>
      <c r="G174" s="639">
        <f>H174+J174</f>
        <v>18.337</v>
      </c>
      <c r="H174" s="604">
        <v>18.337</v>
      </c>
      <c r="I174" s="604">
        <v>13.145</v>
      </c>
      <c r="J174" s="633"/>
      <c r="K174" s="632">
        <f>L174+N174</f>
        <v>129.6</v>
      </c>
      <c r="L174" s="614">
        <v>129.6</v>
      </c>
      <c r="M174" s="614">
        <v>107.7</v>
      </c>
      <c r="N174" s="613"/>
      <c r="O174" s="639"/>
      <c r="P174" s="604"/>
      <c r="Q174" s="604"/>
      <c r="R174" s="633"/>
      <c r="S174" s="631">
        <f>T174+V174</f>
        <v>156.5</v>
      </c>
      <c r="T174" s="543">
        <v>156.5</v>
      </c>
      <c r="U174" s="543">
        <v>130.8</v>
      </c>
      <c r="V174" s="633"/>
    </row>
    <row r="175" spans="1:22" ht="50.25" customHeight="1" thickBot="1">
      <c r="A175" s="644">
        <v>166</v>
      </c>
      <c r="B175" s="665" t="s">
        <v>646</v>
      </c>
      <c r="C175" s="970">
        <f aca="true" t="shared" si="26" ref="C175:I175">C176+C186+SUM(C191:C200)</f>
        <v>3742.5375999999997</v>
      </c>
      <c r="D175" s="971">
        <f t="shared" si="26"/>
        <v>2363.355</v>
      </c>
      <c r="E175" s="971">
        <f t="shared" si="26"/>
        <v>401.16900000000004</v>
      </c>
      <c r="F175" s="971">
        <f t="shared" si="26"/>
        <v>1379.1826</v>
      </c>
      <c r="G175" s="972">
        <f t="shared" si="26"/>
        <v>1656.625</v>
      </c>
      <c r="H175" s="971">
        <f t="shared" si="26"/>
        <v>1524.625</v>
      </c>
      <c r="I175" s="557">
        <f t="shared" si="26"/>
        <v>401.16900000000004</v>
      </c>
      <c r="J175" s="901">
        <f>J176+J186+SUM(J191:J200)</f>
        <v>132</v>
      </c>
      <c r="K175" s="972">
        <f>K176</f>
        <v>2083.1826</v>
      </c>
      <c r="L175" s="973">
        <f>L176</f>
        <v>836</v>
      </c>
      <c r="M175" s="973"/>
      <c r="N175" s="974">
        <f>N176</f>
        <v>1247.1826</v>
      </c>
      <c r="O175" s="713"/>
      <c r="P175" s="555"/>
      <c r="Q175" s="555"/>
      <c r="R175" s="714"/>
      <c r="S175" s="713">
        <f>S176+S186+SUM(S191:S200)</f>
        <v>2.73</v>
      </c>
      <c r="T175" s="555">
        <f>T176+T186+SUM(T191:T200)</f>
        <v>2.73</v>
      </c>
      <c r="U175" s="555"/>
      <c r="V175" s="687"/>
    </row>
    <row r="176" spans="1:22" ht="13.5" thickBot="1">
      <c r="A176" s="615">
        <v>167</v>
      </c>
      <c r="B176" s="640" t="s">
        <v>627</v>
      </c>
      <c r="C176" s="559">
        <f>G176+K176+O176+S176</f>
        <v>2875.3646</v>
      </c>
      <c r="D176" s="781">
        <f>H176+L176+P176+T176</f>
        <v>1496.182</v>
      </c>
      <c r="E176" s="781"/>
      <c r="F176" s="781">
        <f>J176+N176+R176+V176</f>
        <v>1379.1826</v>
      </c>
      <c r="G176" s="699">
        <f>G177+G181+G182+G183+G184+G185+G178+G179</f>
        <v>792.182</v>
      </c>
      <c r="H176" s="616">
        <f>H177+H181+H182+H183+H184+H185+H178+H179</f>
        <v>660.182</v>
      </c>
      <c r="I176" s="616"/>
      <c r="J176" s="902">
        <f>J177+J181+J182+J183+J184+J185+J178+J179</f>
        <v>132</v>
      </c>
      <c r="K176" s="699">
        <f>K177+K181+K182+K183+K184+K185+K178+K179+K180</f>
        <v>2083.1826</v>
      </c>
      <c r="L176" s="616">
        <f>L177+L181+L182+L183+L184+L185+L178+L179+L180</f>
        <v>836</v>
      </c>
      <c r="M176" s="616"/>
      <c r="N176" s="695">
        <f>N177+N181+N182+N183+N184+N185+N178+N179+N180</f>
        <v>1247.1826</v>
      </c>
      <c r="O176" s="715"/>
      <c r="P176" s="617"/>
      <c r="Q176" s="617"/>
      <c r="R176" s="689"/>
      <c r="S176" s="711"/>
      <c r="T176" s="598"/>
      <c r="U176" s="598"/>
      <c r="V176" s="693"/>
    </row>
    <row r="177" spans="1:22" ht="12.75">
      <c r="A177" s="618">
        <f>+A176+1</f>
        <v>168</v>
      </c>
      <c r="B177" s="662" t="s">
        <v>132</v>
      </c>
      <c r="C177" s="581">
        <f aca="true" t="shared" si="27" ref="C177:E215">G177+K177+O177+S177</f>
        <v>295</v>
      </c>
      <c r="D177" s="619">
        <f t="shared" si="27"/>
        <v>275</v>
      </c>
      <c r="E177" s="619"/>
      <c r="F177" s="619">
        <f>J177+N177+R177+V177</f>
        <v>20</v>
      </c>
      <c r="G177" s="626">
        <f aca="true" t="shared" si="28" ref="G177:G185">H177+J177</f>
        <v>295</v>
      </c>
      <c r="H177" s="603">
        <v>275</v>
      </c>
      <c r="I177" s="603"/>
      <c r="J177" s="588">
        <v>20</v>
      </c>
      <c r="K177" s="699"/>
      <c r="L177" s="598"/>
      <c r="M177" s="598"/>
      <c r="N177" s="627"/>
      <c r="O177" s="626"/>
      <c r="P177" s="573"/>
      <c r="Q177" s="573"/>
      <c r="R177" s="627"/>
      <c r="S177" s="626"/>
      <c r="T177" s="573"/>
      <c r="U177" s="573"/>
      <c r="V177" s="627"/>
    </row>
    <row r="178" spans="1:22" ht="25.5">
      <c r="A178" s="618">
        <v>169</v>
      </c>
      <c r="B178" s="869" t="s">
        <v>657</v>
      </c>
      <c r="C178" s="962">
        <f t="shared" si="27"/>
        <v>19.1826</v>
      </c>
      <c r="D178" s="963"/>
      <c r="E178" s="963"/>
      <c r="F178" s="962">
        <f>J178+N178+R178+V178</f>
        <v>19.1826</v>
      </c>
      <c r="G178" s="964"/>
      <c r="H178" s="965"/>
      <c r="I178" s="965"/>
      <c r="J178" s="903"/>
      <c r="K178" s="966">
        <v>19.1826</v>
      </c>
      <c r="L178" s="967"/>
      <c r="M178" s="968"/>
      <c r="N178" s="969">
        <v>19.1826</v>
      </c>
      <c r="O178" s="786"/>
      <c r="P178" s="789"/>
      <c r="Q178" s="789"/>
      <c r="R178" s="790"/>
      <c r="S178" s="786"/>
      <c r="T178" s="789"/>
      <c r="U178" s="789"/>
      <c r="V178" s="790"/>
    </row>
    <row r="179" spans="1:22" ht="12.75">
      <c r="A179" s="618">
        <v>170</v>
      </c>
      <c r="B179" s="869" t="s">
        <v>662</v>
      </c>
      <c r="C179" s="782">
        <f t="shared" si="27"/>
        <v>93</v>
      </c>
      <c r="D179" s="783"/>
      <c r="E179" s="783"/>
      <c r="F179" s="782">
        <f>J179+N179+R179+V179</f>
        <v>93</v>
      </c>
      <c r="G179" s="786"/>
      <c r="H179" s="787"/>
      <c r="I179" s="787"/>
      <c r="J179" s="771"/>
      <c r="K179" s="906">
        <v>93</v>
      </c>
      <c r="L179" s="788"/>
      <c r="M179" s="789"/>
      <c r="N179" s="790">
        <v>93</v>
      </c>
      <c r="O179" s="786"/>
      <c r="P179" s="789"/>
      <c r="Q179" s="789"/>
      <c r="R179" s="790"/>
      <c r="S179" s="786"/>
      <c r="T179" s="789"/>
      <c r="U179" s="789"/>
      <c r="V179" s="790"/>
    </row>
    <row r="180" spans="1:22" ht="12.75">
      <c r="A180" s="618">
        <v>171</v>
      </c>
      <c r="B180" s="869" t="s">
        <v>675</v>
      </c>
      <c r="C180" s="782">
        <f t="shared" si="27"/>
        <v>1955</v>
      </c>
      <c r="D180" s="783">
        <f>H180+L180+P180+T180</f>
        <v>820</v>
      </c>
      <c r="E180" s="783"/>
      <c r="F180" s="782">
        <f>J180+N180+R180+V180</f>
        <v>1135</v>
      </c>
      <c r="G180" s="786"/>
      <c r="H180" s="787"/>
      <c r="I180" s="787"/>
      <c r="J180" s="904"/>
      <c r="K180" s="906">
        <f>L180+N180</f>
        <v>1955</v>
      </c>
      <c r="L180" s="788">
        <v>820</v>
      </c>
      <c r="M180" s="789"/>
      <c r="N180" s="790">
        <v>1135</v>
      </c>
      <c r="O180" s="786"/>
      <c r="P180" s="789"/>
      <c r="Q180" s="789"/>
      <c r="R180" s="790"/>
      <c r="S180" s="786"/>
      <c r="T180" s="789"/>
      <c r="U180" s="789"/>
      <c r="V180" s="790"/>
    </row>
    <row r="181" spans="1:22" ht="12.75">
      <c r="A181" s="618">
        <v>172</v>
      </c>
      <c r="B181" s="884" t="s">
        <v>290</v>
      </c>
      <c r="C181" s="782">
        <f t="shared" si="27"/>
        <v>50</v>
      </c>
      <c r="D181" s="783">
        <f>H181+L181+P181+T181</f>
        <v>50</v>
      </c>
      <c r="E181" s="783"/>
      <c r="F181" s="782"/>
      <c r="G181" s="626">
        <f t="shared" si="28"/>
        <v>50</v>
      </c>
      <c r="H181" s="573">
        <v>50</v>
      </c>
      <c r="I181" s="573"/>
      <c r="J181" s="574"/>
      <c r="K181" s="626"/>
      <c r="L181" s="604"/>
      <c r="M181" s="573"/>
      <c r="N181" s="627"/>
      <c r="O181" s="626"/>
      <c r="P181" s="573"/>
      <c r="Q181" s="573"/>
      <c r="R181" s="627"/>
      <c r="S181" s="626"/>
      <c r="T181" s="573"/>
      <c r="U181" s="573"/>
      <c r="V181" s="627"/>
    </row>
    <row r="182" spans="1:22" ht="12.75">
      <c r="A182" s="618">
        <f>+A181+1</f>
        <v>173</v>
      </c>
      <c r="B182" s="641" t="s">
        <v>299</v>
      </c>
      <c r="C182" s="566">
        <f t="shared" si="27"/>
        <v>16</v>
      </c>
      <c r="D182" s="573">
        <f t="shared" si="27"/>
        <v>16</v>
      </c>
      <c r="E182" s="573"/>
      <c r="F182" s="574"/>
      <c r="G182" s="626"/>
      <c r="H182" s="584"/>
      <c r="I182" s="584"/>
      <c r="J182" s="585"/>
      <c r="K182" s="907">
        <f>L182+N182</f>
        <v>16</v>
      </c>
      <c r="L182" s="611">
        <v>16</v>
      </c>
      <c r="M182" s="584"/>
      <c r="N182" s="676"/>
      <c r="O182" s="626"/>
      <c r="P182" s="584"/>
      <c r="Q182" s="584"/>
      <c r="R182" s="676"/>
      <c r="S182" s="626"/>
      <c r="T182" s="584"/>
      <c r="U182" s="584"/>
      <c r="V182" s="676"/>
    </row>
    <row r="183" spans="1:22" ht="12.75">
      <c r="A183" s="618">
        <v>174</v>
      </c>
      <c r="B183" s="641" t="s">
        <v>133</v>
      </c>
      <c r="C183" s="566">
        <f t="shared" si="27"/>
        <v>156.8</v>
      </c>
      <c r="D183" s="573">
        <f t="shared" si="27"/>
        <v>156.8</v>
      </c>
      <c r="E183" s="573"/>
      <c r="F183" s="574"/>
      <c r="G183" s="626">
        <f t="shared" si="28"/>
        <v>156.8</v>
      </c>
      <c r="H183" s="573">
        <f>150-23.2+30</f>
        <v>156.8</v>
      </c>
      <c r="I183" s="584"/>
      <c r="J183" s="585"/>
      <c r="K183" s="679"/>
      <c r="L183" s="598"/>
      <c r="M183" s="584"/>
      <c r="N183" s="676"/>
      <c r="O183" s="679"/>
      <c r="P183" s="573"/>
      <c r="Q183" s="584"/>
      <c r="R183" s="676"/>
      <c r="S183" s="679"/>
      <c r="T183" s="573"/>
      <c r="U183" s="584"/>
      <c r="V183" s="676"/>
    </row>
    <row r="184" spans="1:22" ht="12.75">
      <c r="A184" s="618">
        <v>175</v>
      </c>
      <c r="B184" s="641" t="s">
        <v>669</v>
      </c>
      <c r="C184" s="566">
        <f t="shared" si="27"/>
        <v>248.382</v>
      </c>
      <c r="D184" s="573">
        <f t="shared" si="27"/>
        <v>178.382</v>
      </c>
      <c r="E184" s="573"/>
      <c r="F184" s="573">
        <f>J184+N184+R184+V184</f>
        <v>70</v>
      </c>
      <c r="G184" s="679">
        <f t="shared" si="28"/>
        <v>248.382</v>
      </c>
      <c r="H184" s="573">
        <f>130+48.382</f>
        <v>178.382</v>
      </c>
      <c r="I184" s="584"/>
      <c r="J184" s="585">
        <v>70</v>
      </c>
      <c r="K184" s="679"/>
      <c r="L184" s="573"/>
      <c r="M184" s="584"/>
      <c r="N184" s="676"/>
      <c r="O184" s="679"/>
      <c r="P184" s="573"/>
      <c r="Q184" s="584"/>
      <c r="R184" s="676"/>
      <c r="S184" s="679"/>
      <c r="T184" s="573"/>
      <c r="U184" s="584"/>
      <c r="V184" s="676"/>
    </row>
    <row r="185" spans="1:22" ht="12.75">
      <c r="A185" s="618">
        <v>176</v>
      </c>
      <c r="B185" s="641" t="s">
        <v>300</v>
      </c>
      <c r="C185" s="566">
        <f t="shared" si="27"/>
        <v>42</v>
      </c>
      <c r="D185" s="573"/>
      <c r="E185" s="573"/>
      <c r="F185" s="573">
        <f>J185+N185+R185+V185</f>
        <v>42</v>
      </c>
      <c r="G185" s="679">
        <f t="shared" si="28"/>
        <v>42</v>
      </c>
      <c r="H185" s="573"/>
      <c r="I185" s="584"/>
      <c r="J185" s="585">
        <v>42</v>
      </c>
      <c r="K185" s="679"/>
      <c r="L185" s="573"/>
      <c r="M185" s="584"/>
      <c r="N185" s="676"/>
      <c r="O185" s="679"/>
      <c r="P185" s="573"/>
      <c r="Q185" s="584"/>
      <c r="R185" s="676"/>
      <c r="S185" s="679"/>
      <c r="T185" s="573"/>
      <c r="U185" s="584"/>
      <c r="V185" s="676"/>
    </row>
    <row r="186" spans="1:22" ht="12.75">
      <c r="A186" s="618">
        <v>177</v>
      </c>
      <c r="B186" s="642" t="s">
        <v>201</v>
      </c>
      <c r="C186" s="576">
        <f t="shared" si="27"/>
        <v>35</v>
      </c>
      <c r="D186" s="572">
        <f>H186</f>
        <v>35</v>
      </c>
      <c r="E186" s="572"/>
      <c r="F186" s="583"/>
      <c r="G186" s="628">
        <f>G187+G188+G189+G190</f>
        <v>35</v>
      </c>
      <c r="H186" s="572">
        <f>H187+H188+H189+H190</f>
        <v>35</v>
      </c>
      <c r="I186" s="573"/>
      <c r="J186" s="585"/>
      <c r="K186" s="679"/>
      <c r="L186" s="573"/>
      <c r="M186" s="573"/>
      <c r="N186" s="676"/>
      <c r="O186" s="679"/>
      <c r="P186" s="573"/>
      <c r="Q186" s="573"/>
      <c r="R186" s="676"/>
      <c r="S186" s="679"/>
      <c r="T186" s="573"/>
      <c r="U186" s="573"/>
      <c r="V186" s="676"/>
    </row>
    <row r="187" spans="1:22" ht="24.75" customHeight="1">
      <c r="A187" s="618">
        <v>178</v>
      </c>
      <c r="B187" s="134" t="s">
        <v>377</v>
      </c>
      <c r="C187" s="27">
        <f t="shared" si="27"/>
        <v>6</v>
      </c>
      <c r="D187" s="48">
        <f t="shared" si="27"/>
        <v>6</v>
      </c>
      <c r="E187" s="32"/>
      <c r="F187" s="43"/>
      <c r="G187" s="29">
        <f>H187+J187</f>
        <v>6</v>
      </c>
      <c r="H187" s="32">
        <v>6</v>
      </c>
      <c r="I187" s="573"/>
      <c r="J187" s="585"/>
      <c r="K187" s="679"/>
      <c r="L187" s="573"/>
      <c r="M187" s="573"/>
      <c r="N187" s="676"/>
      <c r="O187" s="679"/>
      <c r="P187" s="573"/>
      <c r="Q187" s="573"/>
      <c r="R187" s="676"/>
      <c r="S187" s="679"/>
      <c r="T187" s="573"/>
      <c r="U187" s="573"/>
      <c r="V187" s="676"/>
    </row>
    <row r="188" spans="1:22" ht="38.25" customHeight="1">
      <c r="A188" s="618">
        <v>179</v>
      </c>
      <c r="B188" s="186" t="s">
        <v>378</v>
      </c>
      <c r="C188" s="566">
        <f t="shared" si="27"/>
        <v>4</v>
      </c>
      <c r="D188" s="573">
        <f t="shared" si="27"/>
        <v>4</v>
      </c>
      <c r="E188" s="573"/>
      <c r="F188" s="574"/>
      <c r="G188" s="679">
        <f aca="true" t="shared" si="29" ref="G188:G200">H188+J188</f>
        <v>4</v>
      </c>
      <c r="H188" s="573">
        <v>4</v>
      </c>
      <c r="I188" s="573"/>
      <c r="J188" s="585"/>
      <c r="K188" s="679"/>
      <c r="L188" s="573"/>
      <c r="M188" s="573"/>
      <c r="N188" s="676"/>
      <c r="O188" s="679"/>
      <c r="P188" s="573"/>
      <c r="Q188" s="573"/>
      <c r="R188" s="676"/>
      <c r="S188" s="679"/>
      <c r="T188" s="573"/>
      <c r="U188" s="573"/>
      <c r="V188" s="676"/>
    </row>
    <row r="189" spans="1:22" ht="27" customHeight="1">
      <c r="A189" s="618">
        <v>180</v>
      </c>
      <c r="B189" s="186" t="s">
        <v>368</v>
      </c>
      <c r="C189" s="566">
        <f t="shared" si="27"/>
        <v>10</v>
      </c>
      <c r="D189" s="573">
        <f t="shared" si="27"/>
        <v>10</v>
      </c>
      <c r="E189" s="573"/>
      <c r="F189" s="574"/>
      <c r="G189" s="679">
        <f t="shared" si="29"/>
        <v>10</v>
      </c>
      <c r="H189" s="573">
        <v>10</v>
      </c>
      <c r="I189" s="573"/>
      <c r="J189" s="585"/>
      <c r="K189" s="679"/>
      <c r="L189" s="573"/>
      <c r="M189" s="573"/>
      <c r="N189" s="676"/>
      <c r="O189" s="679"/>
      <c r="P189" s="573"/>
      <c r="Q189" s="573"/>
      <c r="R189" s="676"/>
      <c r="S189" s="679"/>
      <c r="T189" s="573"/>
      <c r="U189" s="573"/>
      <c r="V189" s="676"/>
    </row>
    <row r="190" spans="1:22" ht="14.25" customHeight="1">
      <c r="A190" s="618">
        <v>181</v>
      </c>
      <c r="B190" s="723" t="s">
        <v>369</v>
      </c>
      <c r="C190" s="566">
        <f t="shared" si="27"/>
        <v>15</v>
      </c>
      <c r="D190" s="573">
        <f t="shared" si="27"/>
        <v>15</v>
      </c>
      <c r="E190" s="573"/>
      <c r="F190" s="574"/>
      <c r="G190" s="679">
        <f t="shared" si="29"/>
        <v>15</v>
      </c>
      <c r="H190" s="573">
        <v>15</v>
      </c>
      <c r="I190" s="573"/>
      <c r="J190" s="585"/>
      <c r="K190" s="679"/>
      <c r="L190" s="573"/>
      <c r="M190" s="573"/>
      <c r="N190" s="676"/>
      <c r="O190" s="679"/>
      <c r="P190" s="573"/>
      <c r="Q190" s="573"/>
      <c r="R190" s="676"/>
      <c r="S190" s="679"/>
      <c r="T190" s="573"/>
      <c r="U190" s="573"/>
      <c r="V190" s="676"/>
    </row>
    <row r="191" spans="1:22" ht="12.75">
      <c r="A191" s="618">
        <v>182</v>
      </c>
      <c r="B191" s="642" t="s">
        <v>42</v>
      </c>
      <c r="C191" s="576">
        <f t="shared" si="27"/>
        <v>47.099999999999994</v>
      </c>
      <c r="D191" s="572">
        <f t="shared" si="27"/>
        <v>47.099999999999994</v>
      </c>
      <c r="E191" s="572">
        <f t="shared" si="27"/>
        <v>27.602</v>
      </c>
      <c r="F191" s="583"/>
      <c r="G191" s="629">
        <f t="shared" si="29"/>
        <v>47.099999999999994</v>
      </c>
      <c r="H191" s="572">
        <f>47.8-0.7</f>
        <v>47.099999999999994</v>
      </c>
      <c r="I191" s="572">
        <v>27.602</v>
      </c>
      <c r="J191" s="588"/>
      <c r="K191" s="629"/>
      <c r="L191" s="573"/>
      <c r="M191" s="573"/>
      <c r="N191" s="627"/>
      <c r="O191" s="626"/>
      <c r="P191" s="573"/>
      <c r="Q191" s="573"/>
      <c r="R191" s="627"/>
      <c r="S191" s="629"/>
      <c r="T191" s="572"/>
      <c r="U191" s="572"/>
      <c r="V191" s="680"/>
    </row>
    <row r="192" spans="1:22" ht="12.75">
      <c r="A192" s="618">
        <v>183</v>
      </c>
      <c r="B192" s="642" t="s">
        <v>43</v>
      </c>
      <c r="C192" s="576">
        <f t="shared" si="27"/>
        <v>31.618</v>
      </c>
      <c r="D192" s="572">
        <f t="shared" si="27"/>
        <v>31.618</v>
      </c>
      <c r="E192" s="572">
        <f t="shared" si="27"/>
        <v>22.483</v>
      </c>
      <c r="F192" s="583"/>
      <c r="G192" s="629">
        <f t="shared" si="29"/>
        <v>31.618</v>
      </c>
      <c r="H192" s="572">
        <f>31.918-0.3</f>
        <v>31.618</v>
      </c>
      <c r="I192" s="572">
        <v>22.483</v>
      </c>
      <c r="J192" s="588"/>
      <c r="K192" s="629"/>
      <c r="L192" s="573"/>
      <c r="M192" s="573"/>
      <c r="N192" s="627"/>
      <c r="O192" s="626"/>
      <c r="P192" s="573"/>
      <c r="Q192" s="573"/>
      <c r="R192" s="627"/>
      <c r="S192" s="629"/>
      <c r="T192" s="572"/>
      <c r="U192" s="572"/>
      <c r="V192" s="680"/>
    </row>
    <row r="193" spans="1:22" ht="12.75">
      <c r="A193" s="618">
        <v>184</v>
      </c>
      <c r="B193" s="642" t="s">
        <v>44</v>
      </c>
      <c r="C193" s="576">
        <f t="shared" si="27"/>
        <v>93.351</v>
      </c>
      <c r="D193" s="572">
        <f t="shared" si="27"/>
        <v>93.351</v>
      </c>
      <c r="E193" s="572">
        <f t="shared" si="27"/>
        <v>68.148</v>
      </c>
      <c r="F193" s="583"/>
      <c r="G193" s="629">
        <f t="shared" si="29"/>
        <v>91.351</v>
      </c>
      <c r="H193" s="572">
        <f>92.151-0.8</f>
        <v>91.351</v>
      </c>
      <c r="I193" s="572">
        <v>68.148</v>
      </c>
      <c r="J193" s="583"/>
      <c r="K193" s="629"/>
      <c r="L193" s="573"/>
      <c r="M193" s="573"/>
      <c r="N193" s="627"/>
      <c r="O193" s="626"/>
      <c r="P193" s="573"/>
      <c r="Q193" s="573"/>
      <c r="R193" s="627"/>
      <c r="S193" s="629">
        <f>T193+V193</f>
        <v>2</v>
      </c>
      <c r="T193" s="572">
        <v>2</v>
      </c>
      <c r="U193" s="572"/>
      <c r="V193" s="680"/>
    </row>
    <row r="194" spans="1:22" ht="12.75">
      <c r="A194" s="618">
        <v>185</v>
      </c>
      <c r="B194" s="642" t="s">
        <v>45</v>
      </c>
      <c r="C194" s="576">
        <f t="shared" si="27"/>
        <v>27.213</v>
      </c>
      <c r="D194" s="572">
        <f t="shared" si="27"/>
        <v>27.213</v>
      </c>
      <c r="E194" s="572">
        <f t="shared" si="27"/>
        <v>24.1</v>
      </c>
      <c r="F194" s="583"/>
      <c r="G194" s="629">
        <f t="shared" si="29"/>
        <v>27.213</v>
      </c>
      <c r="H194" s="572">
        <f>27.413-0.2</f>
        <v>27.213</v>
      </c>
      <c r="I194" s="572">
        <v>24.1</v>
      </c>
      <c r="J194" s="583"/>
      <c r="K194" s="629"/>
      <c r="L194" s="573"/>
      <c r="M194" s="573"/>
      <c r="N194" s="627"/>
      <c r="O194" s="626"/>
      <c r="P194" s="573"/>
      <c r="Q194" s="573"/>
      <c r="R194" s="627"/>
      <c r="S194" s="629"/>
      <c r="T194" s="572"/>
      <c r="U194" s="572"/>
      <c r="V194" s="680"/>
    </row>
    <row r="195" spans="1:22" ht="12.75">
      <c r="A195" s="618">
        <v>186</v>
      </c>
      <c r="B195" s="642" t="s">
        <v>46</v>
      </c>
      <c r="C195" s="576">
        <f t="shared" si="27"/>
        <v>35.185</v>
      </c>
      <c r="D195" s="572">
        <f t="shared" si="27"/>
        <v>35.185</v>
      </c>
      <c r="E195" s="572">
        <f t="shared" si="27"/>
        <v>27.334</v>
      </c>
      <c r="F195" s="583"/>
      <c r="G195" s="629">
        <f t="shared" si="29"/>
        <v>35.185</v>
      </c>
      <c r="H195" s="572">
        <v>35.185</v>
      </c>
      <c r="I195" s="572">
        <v>27.334</v>
      </c>
      <c r="J195" s="583"/>
      <c r="K195" s="629"/>
      <c r="L195" s="573"/>
      <c r="M195" s="573"/>
      <c r="N195" s="627"/>
      <c r="O195" s="626"/>
      <c r="P195" s="573"/>
      <c r="Q195" s="573"/>
      <c r="R195" s="627"/>
      <c r="S195" s="629"/>
      <c r="T195" s="572"/>
      <c r="U195" s="572"/>
      <c r="V195" s="680"/>
    </row>
    <row r="196" spans="1:22" ht="12.75">
      <c r="A196" s="618">
        <v>187</v>
      </c>
      <c r="B196" s="642" t="s">
        <v>47</v>
      </c>
      <c r="C196" s="576">
        <f t="shared" si="27"/>
        <v>114.873</v>
      </c>
      <c r="D196" s="572">
        <f t="shared" si="27"/>
        <v>114.873</v>
      </c>
      <c r="E196" s="572">
        <f t="shared" si="27"/>
        <v>93.586</v>
      </c>
      <c r="F196" s="583"/>
      <c r="G196" s="629">
        <f t="shared" si="29"/>
        <v>114.873</v>
      </c>
      <c r="H196" s="572">
        <v>114.873</v>
      </c>
      <c r="I196" s="572">
        <v>93.586</v>
      </c>
      <c r="J196" s="583"/>
      <c r="K196" s="629"/>
      <c r="L196" s="573"/>
      <c r="M196" s="573"/>
      <c r="N196" s="627"/>
      <c r="O196" s="626"/>
      <c r="P196" s="573"/>
      <c r="Q196" s="573"/>
      <c r="R196" s="627"/>
      <c r="S196" s="629"/>
      <c r="T196" s="572"/>
      <c r="U196" s="572"/>
      <c r="V196" s="680"/>
    </row>
    <row r="197" spans="1:22" ht="12.75">
      <c r="A197" s="618">
        <v>188</v>
      </c>
      <c r="B197" s="642" t="s">
        <v>48</v>
      </c>
      <c r="C197" s="576">
        <f t="shared" si="27"/>
        <v>77.735</v>
      </c>
      <c r="D197" s="572">
        <f t="shared" si="27"/>
        <v>77.735</v>
      </c>
      <c r="E197" s="572">
        <f t="shared" si="27"/>
        <v>58.557</v>
      </c>
      <c r="F197" s="583"/>
      <c r="G197" s="629">
        <f t="shared" si="29"/>
        <v>77.005</v>
      </c>
      <c r="H197" s="572">
        <v>77.005</v>
      </c>
      <c r="I197" s="572">
        <v>58.557</v>
      </c>
      <c r="J197" s="583"/>
      <c r="K197" s="629"/>
      <c r="L197" s="573"/>
      <c r="M197" s="573"/>
      <c r="N197" s="627"/>
      <c r="O197" s="626"/>
      <c r="P197" s="573"/>
      <c r="Q197" s="573"/>
      <c r="R197" s="627"/>
      <c r="S197" s="629">
        <f>T197+V197</f>
        <v>0.73</v>
      </c>
      <c r="T197" s="572">
        <v>0.73</v>
      </c>
      <c r="U197" s="572"/>
      <c r="V197" s="680"/>
    </row>
    <row r="198" spans="1:22" ht="12.75">
      <c r="A198" s="618">
        <v>189</v>
      </c>
      <c r="B198" s="642" t="s">
        <v>49</v>
      </c>
      <c r="C198" s="576">
        <f t="shared" si="27"/>
        <v>44.353</v>
      </c>
      <c r="D198" s="572">
        <f t="shared" si="27"/>
        <v>44.353</v>
      </c>
      <c r="E198" s="572">
        <f t="shared" si="27"/>
        <v>37.149</v>
      </c>
      <c r="F198" s="583"/>
      <c r="G198" s="629">
        <f t="shared" si="29"/>
        <v>44.353</v>
      </c>
      <c r="H198" s="572">
        <v>44.353</v>
      </c>
      <c r="I198" s="572">
        <v>37.149</v>
      </c>
      <c r="J198" s="583"/>
      <c r="K198" s="629"/>
      <c r="L198" s="573"/>
      <c r="M198" s="573"/>
      <c r="N198" s="627"/>
      <c r="O198" s="626"/>
      <c r="P198" s="573"/>
      <c r="Q198" s="573"/>
      <c r="R198" s="627"/>
      <c r="S198" s="629"/>
      <c r="T198" s="572"/>
      <c r="U198" s="572"/>
      <c r="V198" s="680"/>
    </row>
    <row r="199" spans="1:22" ht="12.75">
      <c r="A199" s="618">
        <v>190</v>
      </c>
      <c r="B199" s="642" t="s">
        <v>73</v>
      </c>
      <c r="C199" s="576">
        <f t="shared" si="27"/>
        <v>53.632</v>
      </c>
      <c r="D199" s="572">
        <f t="shared" si="27"/>
        <v>53.632</v>
      </c>
      <c r="E199" s="572">
        <f t="shared" si="27"/>
        <v>33.1</v>
      </c>
      <c r="F199" s="583"/>
      <c r="G199" s="629">
        <f t="shared" si="29"/>
        <v>53.632</v>
      </c>
      <c r="H199" s="572">
        <f>54.832-1.2</f>
        <v>53.632</v>
      </c>
      <c r="I199" s="572">
        <v>33.1</v>
      </c>
      <c r="J199" s="583"/>
      <c r="K199" s="629"/>
      <c r="L199" s="573"/>
      <c r="M199" s="573"/>
      <c r="N199" s="627"/>
      <c r="O199" s="626"/>
      <c r="P199" s="573"/>
      <c r="Q199" s="573"/>
      <c r="R199" s="627"/>
      <c r="S199" s="629"/>
      <c r="T199" s="572"/>
      <c r="U199" s="572"/>
      <c r="V199" s="680"/>
    </row>
    <row r="200" spans="1:22" ht="13.5" thickBot="1">
      <c r="A200" s="620">
        <v>191</v>
      </c>
      <c r="B200" s="643" t="s">
        <v>51</v>
      </c>
      <c r="C200" s="576">
        <f t="shared" si="27"/>
        <v>307.113</v>
      </c>
      <c r="D200" s="572">
        <f t="shared" si="27"/>
        <v>307.113</v>
      </c>
      <c r="E200" s="572">
        <f t="shared" si="27"/>
        <v>9.11</v>
      </c>
      <c r="F200" s="583"/>
      <c r="G200" s="684">
        <f t="shared" si="29"/>
        <v>307.113</v>
      </c>
      <c r="H200" s="591">
        <f>315.413-8.3</f>
        <v>307.113</v>
      </c>
      <c r="I200" s="591">
        <v>9.11</v>
      </c>
      <c r="J200" s="905"/>
      <c r="K200" s="898"/>
      <c r="L200" s="908"/>
      <c r="M200" s="908"/>
      <c r="N200" s="909"/>
      <c r="O200" s="626"/>
      <c r="P200" s="573"/>
      <c r="Q200" s="573"/>
      <c r="R200" s="627"/>
      <c r="S200" s="684"/>
      <c r="T200" s="591"/>
      <c r="U200" s="591"/>
      <c r="V200" s="700"/>
    </row>
    <row r="201" spans="1:22" ht="32.25" customHeight="1" thickBot="1">
      <c r="A201" s="644">
        <v>192</v>
      </c>
      <c r="B201" s="666" t="s">
        <v>647</v>
      </c>
      <c r="C201" s="560">
        <f t="shared" si="27"/>
        <v>1321.6</v>
      </c>
      <c r="D201" s="555">
        <f t="shared" si="27"/>
        <v>1321.6</v>
      </c>
      <c r="E201" s="555"/>
      <c r="F201" s="605"/>
      <c r="G201" s="701">
        <f>G202+G204+G208+G212</f>
        <v>1034.6</v>
      </c>
      <c r="H201" s="593">
        <f>H202+H204+H208+H212</f>
        <v>1034.6</v>
      </c>
      <c r="I201" s="593"/>
      <c r="J201" s="702"/>
      <c r="K201" s="894">
        <f>K205</f>
        <v>287</v>
      </c>
      <c r="L201" s="895">
        <f>L205</f>
        <v>287</v>
      </c>
      <c r="M201" s="895"/>
      <c r="N201" s="896"/>
      <c r="O201" s="686"/>
      <c r="P201" s="555"/>
      <c r="Q201" s="555"/>
      <c r="R201" s="687"/>
      <c r="S201" s="686"/>
      <c r="T201" s="555"/>
      <c r="U201" s="555"/>
      <c r="V201" s="687"/>
    </row>
    <row r="202" spans="1:22" ht="27.75" customHeight="1">
      <c r="A202" s="615">
        <v>193</v>
      </c>
      <c r="B202" s="667" t="s">
        <v>648</v>
      </c>
      <c r="C202" s="561">
        <f t="shared" si="27"/>
        <v>70</v>
      </c>
      <c r="D202" s="564">
        <f t="shared" si="27"/>
        <v>70</v>
      </c>
      <c r="E202" s="564"/>
      <c r="F202" s="565"/>
      <c r="G202" s="621">
        <f>G203</f>
        <v>70</v>
      </c>
      <c r="H202" s="622">
        <f>H203</f>
        <v>70</v>
      </c>
      <c r="I202" s="623"/>
      <c r="J202" s="624"/>
      <c r="K202" s="625"/>
      <c r="L202" s="598"/>
      <c r="M202" s="598"/>
      <c r="N202" s="594"/>
      <c r="O202" s="716"/>
      <c r="P202" s="598"/>
      <c r="Q202" s="598"/>
      <c r="R202" s="717"/>
      <c r="S202" s="716"/>
      <c r="T202" s="598"/>
      <c r="U202" s="598"/>
      <c r="V202" s="717"/>
    </row>
    <row r="203" spans="1:22" ht="12.75">
      <c r="A203" s="618">
        <v>194</v>
      </c>
      <c r="B203" s="641" t="s">
        <v>137</v>
      </c>
      <c r="C203" s="566">
        <f t="shared" si="27"/>
        <v>70</v>
      </c>
      <c r="D203" s="573">
        <f t="shared" si="27"/>
        <v>70</v>
      </c>
      <c r="E203" s="573"/>
      <c r="F203" s="574"/>
      <c r="G203" s="626">
        <f>H203+J203</f>
        <v>70</v>
      </c>
      <c r="H203" s="574">
        <v>70</v>
      </c>
      <c r="I203" s="573"/>
      <c r="J203" s="627"/>
      <c r="K203" s="584"/>
      <c r="L203" s="573"/>
      <c r="M203" s="573"/>
      <c r="N203" s="574"/>
      <c r="O203" s="626"/>
      <c r="P203" s="573"/>
      <c r="Q203" s="573"/>
      <c r="R203" s="627"/>
      <c r="S203" s="626"/>
      <c r="T203" s="573"/>
      <c r="U203" s="573"/>
      <c r="V203" s="627"/>
    </row>
    <row r="204" spans="1:22" ht="12.75">
      <c r="A204" s="618">
        <v>195</v>
      </c>
      <c r="B204" s="642" t="s">
        <v>276</v>
      </c>
      <c r="C204" s="576">
        <f t="shared" si="27"/>
        <v>369</v>
      </c>
      <c r="D204" s="572">
        <f t="shared" si="27"/>
        <v>369</v>
      </c>
      <c r="E204" s="572"/>
      <c r="F204" s="583"/>
      <c r="G204" s="628">
        <f>H204+J204</f>
        <v>82</v>
      </c>
      <c r="H204" s="572">
        <f>H206+H207</f>
        <v>82</v>
      </c>
      <c r="I204" s="573"/>
      <c r="J204" s="627"/>
      <c r="K204" s="580">
        <f>K205</f>
        <v>287</v>
      </c>
      <c r="L204" s="572">
        <f>L205</f>
        <v>287</v>
      </c>
      <c r="M204" s="573"/>
      <c r="N204" s="574"/>
      <c r="O204" s="626"/>
      <c r="P204" s="573"/>
      <c r="Q204" s="573"/>
      <c r="R204" s="627"/>
      <c r="S204" s="626"/>
      <c r="T204" s="573"/>
      <c r="U204" s="573"/>
      <c r="V204" s="627"/>
    </row>
    <row r="205" spans="1:22" ht="12.75">
      <c r="A205" s="618">
        <v>196</v>
      </c>
      <c r="B205" s="641" t="s">
        <v>296</v>
      </c>
      <c r="C205" s="566">
        <f t="shared" si="27"/>
        <v>287</v>
      </c>
      <c r="D205" s="570">
        <f t="shared" si="27"/>
        <v>287</v>
      </c>
      <c r="E205" s="572"/>
      <c r="F205" s="583"/>
      <c r="G205" s="629"/>
      <c r="H205" s="580"/>
      <c r="I205" s="573"/>
      <c r="J205" s="627"/>
      <c r="K205" s="584">
        <f>L205+N205</f>
        <v>287</v>
      </c>
      <c r="L205" s="573">
        <v>287</v>
      </c>
      <c r="M205" s="573"/>
      <c r="N205" s="574"/>
      <c r="O205" s="626"/>
      <c r="P205" s="573"/>
      <c r="Q205" s="573"/>
      <c r="R205" s="627"/>
      <c r="S205" s="626"/>
      <c r="T205" s="573"/>
      <c r="U205" s="573"/>
      <c r="V205" s="627"/>
    </row>
    <row r="206" spans="1:22" ht="12.75">
      <c r="A206" s="618">
        <v>197</v>
      </c>
      <c r="B206" s="641" t="s">
        <v>295</v>
      </c>
      <c r="C206" s="566">
        <f t="shared" si="27"/>
        <v>70</v>
      </c>
      <c r="D206" s="573">
        <f t="shared" si="27"/>
        <v>70</v>
      </c>
      <c r="E206" s="573"/>
      <c r="F206" s="574"/>
      <c r="G206" s="626">
        <f aca="true" t="shared" si="30" ref="G206:G214">H206+J206</f>
        <v>70</v>
      </c>
      <c r="H206" s="574">
        <v>70</v>
      </c>
      <c r="I206" s="573"/>
      <c r="J206" s="627"/>
      <c r="K206" s="584"/>
      <c r="L206" s="573"/>
      <c r="M206" s="573"/>
      <c r="N206" s="574"/>
      <c r="O206" s="626"/>
      <c r="P206" s="573"/>
      <c r="Q206" s="573"/>
      <c r="R206" s="627"/>
      <c r="S206" s="626"/>
      <c r="T206" s="573"/>
      <c r="U206" s="573"/>
      <c r="V206" s="627"/>
    </row>
    <row r="207" spans="1:22" ht="25.5" customHeight="1">
      <c r="A207" s="618">
        <v>198</v>
      </c>
      <c r="B207" s="544" t="s">
        <v>310</v>
      </c>
      <c r="C207" s="566">
        <f t="shared" si="27"/>
        <v>12</v>
      </c>
      <c r="D207" s="573">
        <f t="shared" si="27"/>
        <v>12</v>
      </c>
      <c r="E207" s="573"/>
      <c r="F207" s="574"/>
      <c r="G207" s="626">
        <f t="shared" si="30"/>
        <v>12</v>
      </c>
      <c r="H207" s="574">
        <v>12</v>
      </c>
      <c r="I207" s="573"/>
      <c r="J207" s="627"/>
      <c r="K207" s="584"/>
      <c r="L207" s="573"/>
      <c r="M207" s="573"/>
      <c r="N207" s="574"/>
      <c r="O207" s="626"/>
      <c r="P207" s="573"/>
      <c r="Q207" s="573"/>
      <c r="R207" s="627"/>
      <c r="S207" s="679"/>
      <c r="T207" s="573"/>
      <c r="U207" s="573"/>
      <c r="V207" s="627"/>
    </row>
    <row r="208" spans="1:22" ht="12.75">
      <c r="A208" s="618">
        <v>199</v>
      </c>
      <c r="B208" s="642" t="s">
        <v>201</v>
      </c>
      <c r="C208" s="576">
        <f t="shared" si="27"/>
        <v>720</v>
      </c>
      <c r="D208" s="572">
        <f t="shared" si="27"/>
        <v>720</v>
      </c>
      <c r="E208" s="572"/>
      <c r="F208" s="583"/>
      <c r="G208" s="628">
        <f t="shared" si="30"/>
        <v>720</v>
      </c>
      <c r="H208" s="572">
        <f>H209+H211+H210</f>
        <v>720</v>
      </c>
      <c r="I208" s="573"/>
      <c r="J208" s="627"/>
      <c r="K208" s="584"/>
      <c r="L208" s="573"/>
      <c r="M208" s="573"/>
      <c r="N208" s="574"/>
      <c r="O208" s="626"/>
      <c r="P208" s="573"/>
      <c r="Q208" s="573"/>
      <c r="R208" s="627"/>
      <c r="S208" s="628"/>
      <c r="T208" s="572"/>
      <c r="U208" s="573"/>
      <c r="V208" s="627"/>
    </row>
    <row r="209" spans="1:22" ht="12.75" customHeight="1">
      <c r="A209" s="618">
        <v>200</v>
      </c>
      <c r="B209" s="656" t="s">
        <v>291</v>
      </c>
      <c r="C209" s="566">
        <f t="shared" si="27"/>
        <v>10</v>
      </c>
      <c r="D209" s="570">
        <f t="shared" si="27"/>
        <v>10</v>
      </c>
      <c r="E209" s="630"/>
      <c r="F209" s="592"/>
      <c r="G209" s="631">
        <f t="shared" si="30"/>
        <v>10</v>
      </c>
      <c r="H209" s="632">
        <v>10</v>
      </c>
      <c r="I209" s="604"/>
      <c r="J209" s="633"/>
      <c r="K209" s="612"/>
      <c r="L209" s="604"/>
      <c r="M209" s="604"/>
      <c r="N209" s="613"/>
      <c r="O209" s="639"/>
      <c r="P209" s="604"/>
      <c r="Q209" s="604"/>
      <c r="R209" s="633"/>
      <c r="S209" s="639"/>
      <c r="T209" s="604"/>
      <c r="U209" s="604"/>
      <c r="V209" s="633"/>
    </row>
    <row r="210" spans="1:22" ht="12.75" customHeight="1">
      <c r="A210" s="618">
        <v>201</v>
      </c>
      <c r="B210" s="656" t="s">
        <v>649</v>
      </c>
      <c r="C210" s="566">
        <f t="shared" si="27"/>
        <v>585</v>
      </c>
      <c r="D210" s="570">
        <f t="shared" si="27"/>
        <v>585</v>
      </c>
      <c r="E210" s="630"/>
      <c r="F210" s="592"/>
      <c r="G210" s="631">
        <f t="shared" si="30"/>
        <v>585</v>
      </c>
      <c r="H210" s="632">
        <v>585</v>
      </c>
      <c r="I210" s="604"/>
      <c r="J210" s="633"/>
      <c r="K210" s="612"/>
      <c r="L210" s="604"/>
      <c r="M210" s="604"/>
      <c r="N210" s="613"/>
      <c r="O210" s="639"/>
      <c r="P210" s="604"/>
      <c r="Q210" s="604"/>
      <c r="R210" s="633"/>
      <c r="S210" s="639"/>
      <c r="T210" s="604"/>
      <c r="U210" s="604"/>
      <c r="V210" s="633"/>
    </row>
    <row r="211" spans="1:22" ht="12.75">
      <c r="A211" s="618">
        <v>202</v>
      </c>
      <c r="B211" s="668" t="s">
        <v>650</v>
      </c>
      <c r="C211" s="566">
        <f t="shared" si="27"/>
        <v>125</v>
      </c>
      <c r="D211" s="570">
        <f t="shared" si="27"/>
        <v>125</v>
      </c>
      <c r="E211" s="577"/>
      <c r="F211" s="590"/>
      <c r="G211" s="626">
        <f t="shared" si="30"/>
        <v>125</v>
      </c>
      <c r="H211" s="630">
        <v>125</v>
      </c>
      <c r="I211" s="604"/>
      <c r="J211" s="633"/>
      <c r="K211" s="612"/>
      <c r="L211" s="604"/>
      <c r="M211" s="604"/>
      <c r="N211" s="613"/>
      <c r="O211" s="639"/>
      <c r="P211" s="604"/>
      <c r="Q211" s="604"/>
      <c r="R211" s="633"/>
      <c r="S211" s="631"/>
      <c r="T211" s="604"/>
      <c r="U211" s="604"/>
      <c r="V211" s="633"/>
    </row>
    <row r="212" spans="1:22" ht="12.75">
      <c r="A212" s="618">
        <v>203</v>
      </c>
      <c r="B212" s="642" t="s">
        <v>624</v>
      </c>
      <c r="C212" s="576">
        <f t="shared" si="27"/>
        <v>162.6</v>
      </c>
      <c r="D212" s="572">
        <f t="shared" si="27"/>
        <v>162.6</v>
      </c>
      <c r="E212" s="577"/>
      <c r="F212" s="590"/>
      <c r="G212" s="629">
        <f t="shared" si="30"/>
        <v>162.6</v>
      </c>
      <c r="H212" s="577">
        <f>H213+H214</f>
        <v>162.6</v>
      </c>
      <c r="I212" s="604"/>
      <c r="J212" s="634"/>
      <c r="K212" s="635"/>
      <c r="L212" s="604"/>
      <c r="M212" s="604"/>
      <c r="N212" s="635"/>
      <c r="O212" s="639"/>
      <c r="P212" s="604"/>
      <c r="Q212" s="604"/>
      <c r="R212" s="634"/>
      <c r="S212" s="722"/>
      <c r="T212" s="604"/>
      <c r="U212" s="604"/>
      <c r="V212" s="634"/>
    </row>
    <row r="213" spans="1:22" ht="12.75">
      <c r="A213" s="646">
        <v>204</v>
      </c>
      <c r="B213" s="662" t="s">
        <v>651</v>
      </c>
      <c r="C213" s="649">
        <f t="shared" si="27"/>
        <v>82.6</v>
      </c>
      <c r="D213" s="630">
        <f t="shared" si="27"/>
        <v>82.6</v>
      </c>
      <c r="E213" s="577"/>
      <c r="F213" s="590"/>
      <c r="G213" s="639">
        <f t="shared" si="30"/>
        <v>82.6</v>
      </c>
      <c r="H213" s="630">
        <f>100-17.4</f>
        <v>82.6</v>
      </c>
      <c r="I213" s="604"/>
      <c r="J213" s="634"/>
      <c r="K213" s="635"/>
      <c r="L213" s="604"/>
      <c r="M213" s="604"/>
      <c r="N213" s="635"/>
      <c r="O213" s="639"/>
      <c r="P213" s="604"/>
      <c r="Q213" s="604"/>
      <c r="R213" s="634"/>
      <c r="S213" s="722"/>
      <c r="T213" s="604"/>
      <c r="U213" s="604"/>
      <c r="V213" s="634"/>
    </row>
    <row r="214" spans="1:22" ht="27.75" customHeight="1" thickBot="1">
      <c r="A214" s="724">
        <v>205</v>
      </c>
      <c r="B214" s="725" t="s">
        <v>367</v>
      </c>
      <c r="C214" s="726">
        <f t="shared" si="27"/>
        <v>80</v>
      </c>
      <c r="D214" s="727">
        <f t="shared" si="27"/>
        <v>80</v>
      </c>
      <c r="E214" s="728"/>
      <c r="F214" s="729"/>
      <c r="G214" s="730">
        <f t="shared" si="30"/>
        <v>80</v>
      </c>
      <c r="H214" s="727">
        <v>80</v>
      </c>
      <c r="I214" s="731"/>
      <c r="J214" s="732"/>
      <c r="K214" s="733"/>
      <c r="L214" s="731"/>
      <c r="M214" s="731"/>
      <c r="N214" s="734"/>
      <c r="O214" s="730"/>
      <c r="P214" s="731"/>
      <c r="Q214" s="731"/>
      <c r="R214" s="732"/>
      <c r="S214" s="730"/>
      <c r="T214" s="731"/>
      <c r="U214" s="731"/>
      <c r="V214" s="732"/>
    </row>
    <row r="215" spans="1:22" ht="13.5" thickBot="1">
      <c r="A215" s="735">
        <v>206</v>
      </c>
      <c r="B215" s="736" t="s">
        <v>282</v>
      </c>
      <c r="C215" s="941">
        <f t="shared" si="27"/>
        <v>33113.056619999996</v>
      </c>
      <c r="D215" s="940">
        <f t="shared" si="27"/>
        <v>31548.97402</v>
      </c>
      <c r="E215" s="737">
        <f>I215+M215+Q215+U215</f>
        <v>20458.231999999996</v>
      </c>
      <c r="F215" s="975">
        <f>J215+N215+R215+V215</f>
        <v>1564.0826</v>
      </c>
      <c r="G215" s="738">
        <f aca="true" t="shared" si="31" ref="G215:N215">G10+G49+G102+G138+G175+G201</f>
        <v>19466.5</v>
      </c>
      <c r="H215" s="737">
        <f t="shared" si="31"/>
        <v>19191.5</v>
      </c>
      <c r="I215" s="737">
        <f t="shared" si="31"/>
        <v>11642.377999999999</v>
      </c>
      <c r="J215" s="739">
        <f t="shared" si="31"/>
        <v>275</v>
      </c>
      <c r="K215" s="939">
        <f t="shared" si="31"/>
        <v>5527.75862</v>
      </c>
      <c r="L215" s="942">
        <f t="shared" si="31"/>
        <v>4280.5760199999995</v>
      </c>
      <c r="M215" s="557">
        <f t="shared" si="31"/>
        <v>1987.9419999999998</v>
      </c>
      <c r="N215" s="974">
        <f t="shared" si="31"/>
        <v>1247.1826</v>
      </c>
      <c r="O215" s="738">
        <f aca="true" t="shared" si="32" ref="O215:U215">O10+O49+O102+O138+O175+O201</f>
        <v>6707.6</v>
      </c>
      <c r="P215" s="737">
        <f t="shared" si="32"/>
        <v>6702.3</v>
      </c>
      <c r="Q215" s="737">
        <f t="shared" si="32"/>
        <v>6467.126</v>
      </c>
      <c r="R215" s="739">
        <f t="shared" si="32"/>
        <v>5.3</v>
      </c>
      <c r="S215" s="556">
        <f t="shared" si="32"/>
        <v>1411.198</v>
      </c>
      <c r="T215" s="737">
        <f t="shared" si="32"/>
        <v>1374.598</v>
      </c>
      <c r="U215" s="737">
        <f t="shared" si="32"/>
        <v>360.78600000000006</v>
      </c>
      <c r="V215" s="739">
        <f>V10+V23+SUM(V39:V48)+V49+V102+V138+V175+V201</f>
        <v>36.6</v>
      </c>
    </row>
    <row r="216" spans="1:22" ht="12.75">
      <c r="A216" s="546"/>
      <c r="B216" s="546"/>
      <c r="C216" s="546"/>
      <c r="D216" s="546"/>
      <c r="E216" s="546"/>
      <c r="F216" s="546"/>
      <c r="G216" s="546"/>
      <c r="H216" s="546"/>
      <c r="I216" s="546"/>
      <c r="J216" s="546"/>
      <c r="K216" s="546"/>
      <c r="L216" s="546"/>
      <c r="M216" s="546"/>
      <c r="N216" s="546"/>
      <c r="O216" s="546"/>
      <c r="P216" s="546"/>
      <c r="Q216" s="546"/>
      <c r="R216" s="546"/>
      <c r="S216" s="546"/>
      <c r="T216" s="546"/>
      <c r="U216" s="546"/>
      <c r="V216" s="546"/>
    </row>
    <row r="217" spans="1:22" ht="12.75">
      <c r="A217" s="546"/>
      <c r="B217" s="546"/>
      <c r="C217" s="546"/>
      <c r="D217" s="546"/>
      <c r="E217" s="546"/>
      <c r="F217" s="546"/>
      <c r="G217" s="546"/>
      <c r="H217" s="546"/>
      <c r="I217" s="546"/>
      <c r="J217" s="546"/>
      <c r="K217" s="546"/>
      <c r="L217" s="546"/>
      <c r="M217" s="546"/>
      <c r="N217" s="546"/>
      <c r="O217" s="546"/>
      <c r="P217" s="546"/>
      <c r="Q217" s="546"/>
      <c r="R217" s="546"/>
      <c r="S217" s="546"/>
      <c r="T217" s="546"/>
      <c r="U217" s="546"/>
      <c r="V217" s="546"/>
    </row>
    <row r="218" spans="1:22" ht="12.75">
      <c r="A218" s="546"/>
      <c r="B218" s="546"/>
      <c r="C218" s="546"/>
      <c r="D218" s="546"/>
      <c r="E218" s="546"/>
      <c r="F218" s="546"/>
      <c r="G218" s="546"/>
      <c r="H218" s="546"/>
      <c r="I218" s="546"/>
      <c r="J218" s="546"/>
      <c r="K218" s="546"/>
      <c r="L218" s="546"/>
      <c r="M218" s="546"/>
      <c r="N218" s="546"/>
      <c r="O218" s="546"/>
      <c r="P218" s="546"/>
      <c r="Q218" s="546"/>
      <c r="R218" s="546"/>
      <c r="S218" s="546"/>
      <c r="T218" s="546"/>
      <c r="U218" s="546"/>
      <c r="V218" s="546"/>
    </row>
    <row r="219" spans="1:22" ht="12.75">
      <c r="A219" s="546"/>
      <c r="B219" s="636" t="s">
        <v>181</v>
      </c>
      <c r="C219" s="546"/>
      <c r="D219" s="546"/>
      <c r="E219" s="546"/>
      <c r="F219" s="546"/>
      <c r="G219" s="546"/>
      <c r="H219" s="546"/>
      <c r="I219" s="546"/>
      <c r="J219" s="546"/>
      <c r="K219" s="546"/>
      <c r="L219" s="546"/>
      <c r="M219" s="546"/>
      <c r="N219" s="546"/>
      <c r="O219" s="546"/>
      <c r="P219" s="546"/>
      <c r="Q219" s="546"/>
      <c r="R219" s="546"/>
      <c r="S219" s="546"/>
      <c r="T219" s="546"/>
      <c r="U219" s="546"/>
      <c r="V219" s="546"/>
    </row>
    <row r="220" spans="1:22" ht="25.5">
      <c r="A220" s="546"/>
      <c r="B220" s="812" t="s">
        <v>674</v>
      </c>
      <c r="C220" s="546"/>
      <c r="D220" s="546"/>
      <c r="E220" s="546"/>
      <c r="F220" s="546"/>
      <c r="G220" s="546"/>
      <c r="H220" s="546"/>
      <c r="I220" s="546"/>
      <c r="J220" s="546"/>
      <c r="K220" s="546"/>
      <c r="L220" s="546"/>
      <c r="M220" s="546"/>
      <c r="N220" s="546"/>
      <c r="O220" s="546"/>
      <c r="P220" s="546"/>
      <c r="Q220" s="546"/>
      <c r="R220" s="546"/>
      <c r="S220" s="546"/>
      <c r="T220" s="546"/>
      <c r="U220" s="546"/>
      <c r="V220" s="546"/>
    </row>
    <row r="221" spans="1:22" ht="12.75">
      <c r="A221" s="546"/>
      <c r="B221" s="636" t="s">
        <v>652</v>
      </c>
      <c r="C221" s="546"/>
      <c r="D221" s="546"/>
      <c r="E221" s="546"/>
      <c r="F221" s="546"/>
      <c r="G221" s="546"/>
      <c r="H221" s="546"/>
      <c r="I221" s="546"/>
      <c r="J221" s="546"/>
      <c r="K221" s="546"/>
      <c r="L221" s="546"/>
      <c r="M221" s="546"/>
      <c r="N221" s="546"/>
      <c r="O221" s="546"/>
      <c r="P221" s="546"/>
      <c r="Q221" s="546"/>
      <c r="R221" s="546"/>
      <c r="S221" s="546"/>
      <c r="T221" s="546"/>
      <c r="U221" s="546"/>
      <c r="V221" s="546"/>
    </row>
    <row r="222" spans="1:22" ht="12.75">
      <c r="A222" s="545"/>
      <c r="B222" s="637" t="s">
        <v>182</v>
      </c>
      <c r="C222" s="545"/>
      <c r="D222" s="545"/>
      <c r="E222" s="545"/>
      <c r="F222" s="545"/>
      <c r="G222" s="545"/>
      <c r="H222" s="545"/>
      <c r="I222" s="545"/>
      <c r="J222" s="545"/>
      <c r="K222" s="545"/>
      <c r="L222" s="545"/>
      <c r="M222" s="545"/>
      <c r="N222" s="545"/>
      <c r="O222" s="545"/>
      <c r="P222" s="545"/>
      <c r="Q222" s="545"/>
      <c r="R222" s="545"/>
      <c r="S222" s="545"/>
      <c r="T222" s="545"/>
      <c r="U222" s="545"/>
      <c r="V222" s="545"/>
    </row>
    <row r="223" spans="1:22" ht="12.75">
      <c r="A223" s="545"/>
      <c r="B223" s="545"/>
      <c r="C223" s="545"/>
      <c r="D223" s="545"/>
      <c r="E223" s="545"/>
      <c r="F223" s="545"/>
      <c r="G223" s="545"/>
      <c r="H223" s="545"/>
      <c r="I223" s="545"/>
      <c r="J223" s="545"/>
      <c r="K223" s="545"/>
      <c r="L223" s="545"/>
      <c r="M223" s="545"/>
      <c r="N223" s="545"/>
      <c r="O223" s="545"/>
      <c r="P223" s="545"/>
      <c r="Q223" s="545"/>
      <c r="R223" s="545"/>
      <c r="S223" s="545"/>
      <c r="T223" s="545"/>
      <c r="U223" s="545"/>
      <c r="V223" s="545"/>
    </row>
  </sheetData>
  <sheetProtection/>
  <mergeCells count="24">
    <mergeCell ref="P7:R7"/>
    <mergeCell ref="A7:A9"/>
    <mergeCell ref="B7:B9"/>
    <mergeCell ref="C7:C9"/>
    <mergeCell ref="D7:F7"/>
    <mergeCell ref="G7:G9"/>
    <mergeCell ref="C4:J4"/>
    <mergeCell ref="C5:I5"/>
    <mergeCell ref="H8:I8"/>
    <mergeCell ref="J8:J9"/>
    <mergeCell ref="L8:M8"/>
    <mergeCell ref="N8:N9"/>
    <mergeCell ref="K7:K9"/>
    <mergeCell ref="L7:N7"/>
    <mergeCell ref="T7:V7"/>
    <mergeCell ref="T8:U8"/>
    <mergeCell ref="V8:V9"/>
    <mergeCell ref="H7:J7"/>
    <mergeCell ref="D8:E8"/>
    <mergeCell ref="F8:F9"/>
    <mergeCell ref="S7:S9"/>
    <mergeCell ref="P8:Q8"/>
    <mergeCell ref="R8:R9"/>
    <mergeCell ref="O7:O9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55">
      <selection activeCell="G95" sqref="G95:G96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0.71093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388"/>
      <c r="D1" s="388" t="s">
        <v>70</v>
      </c>
      <c r="E1" s="388"/>
      <c r="F1" s="388"/>
      <c r="G1" s="388"/>
    </row>
    <row r="2" spans="3:7" ht="12.75">
      <c r="C2" s="287"/>
      <c r="D2" s="287" t="s">
        <v>364</v>
      </c>
      <c r="E2" s="389"/>
      <c r="F2" s="390"/>
      <c r="G2" s="389"/>
    </row>
    <row r="3" spans="3:7" ht="12.75">
      <c r="C3" s="388"/>
      <c r="D3" s="388" t="s">
        <v>81</v>
      </c>
      <c r="E3" s="388"/>
      <c r="F3" s="388"/>
      <c r="G3" s="388"/>
    </row>
    <row r="5" spans="1:5" ht="12.75">
      <c r="A5" s="336"/>
      <c r="B5" s="337" t="s">
        <v>379</v>
      </c>
      <c r="C5" s="336"/>
      <c r="D5" s="336"/>
      <c r="E5" s="336"/>
    </row>
    <row r="6" spans="1:5" ht="13.5" thickBot="1">
      <c r="A6" s="336"/>
      <c r="B6" s="336"/>
      <c r="C6" s="336"/>
      <c r="D6" s="339"/>
      <c r="E6" s="339" t="s">
        <v>380</v>
      </c>
    </row>
    <row r="7" spans="1:5" ht="12.75">
      <c r="A7" s="1067"/>
      <c r="B7" s="1069" t="s">
        <v>381</v>
      </c>
      <c r="C7" s="1069" t="s">
        <v>382</v>
      </c>
      <c r="D7" s="1069" t="s">
        <v>87</v>
      </c>
      <c r="E7" s="1071" t="s">
        <v>383</v>
      </c>
    </row>
    <row r="8" spans="1:5" ht="13.5" thickBot="1">
      <c r="A8" s="1068"/>
      <c r="B8" s="1070"/>
      <c r="C8" s="1070"/>
      <c r="D8" s="1070"/>
      <c r="E8" s="1072"/>
    </row>
    <row r="9" spans="1:5" ht="12.75">
      <c r="A9" s="354"/>
      <c r="B9" s="343" t="s">
        <v>384</v>
      </c>
      <c r="C9" s="371" t="s">
        <v>71</v>
      </c>
      <c r="D9" s="355">
        <v>0.5</v>
      </c>
      <c r="E9" s="356">
        <v>0</v>
      </c>
    </row>
    <row r="10" spans="1:5" ht="12.75">
      <c r="A10" s="357"/>
      <c r="B10" s="344" t="s">
        <v>30</v>
      </c>
      <c r="C10" s="372" t="s">
        <v>71</v>
      </c>
      <c r="D10" s="358">
        <v>25.1</v>
      </c>
      <c r="E10" s="350">
        <v>23</v>
      </c>
    </row>
    <row r="11" spans="1:5" ht="12.75">
      <c r="A11" s="357"/>
      <c r="B11" s="344" t="s">
        <v>385</v>
      </c>
      <c r="C11" s="372" t="s">
        <v>71</v>
      </c>
      <c r="D11" s="358">
        <v>17.7</v>
      </c>
      <c r="E11" s="350">
        <v>9.7</v>
      </c>
    </row>
    <row r="12" spans="1:5" ht="12.75">
      <c r="A12" s="357"/>
      <c r="B12" s="344" t="s">
        <v>386</v>
      </c>
      <c r="C12" s="372" t="s">
        <v>71</v>
      </c>
      <c r="D12" s="358">
        <v>8.228</v>
      </c>
      <c r="E12" s="350">
        <v>8.11</v>
      </c>
    </row>
    <row r="13" spans="1:5" ht="12.75">
      <c r="A13" s="357"/>
      <c r="B13" s="344" t="s">
        <v>34</v>
      </c>
      <c r="C13" s="372" t="s">
        <v>71</v>
      </c>
      <c r="D13" s="358">
        <v>27.4</v>
      </c>
      <c r="E13" s="350">
        <v>25</v>
      </c>
    </row>
    <row r="14" spans="1:5" ht="12.75">
      <c r="A14" s="357"/>
      <c r="B14" s="344" t="s">
        <v>387</v>
      </c>
      <c r="C14" s="372" t="s">
        <v>71</v>
      </c>
      <c r="D14" s="358">
        <v>9.9</v>
      </c>
      <c r="E14" s="350">
        <v>8.7</v>
      </c>
    </row>
    <row r="15" spans="1:5" ht="12.75">
      <c r="A15" s="357"/>
      <c r="B15" s="344" t="s">
        <v>388</v>
      </c>
      <c r="C15" s="372" t="s">
        <v>71</v>
      </c>
      <c r="D15" s="358">
        <v>16</v>
      </c>
      <c r="E15" s="350">
        <v>15.7</v>
      </c>
    </row>
    <row r="16" spans="1:5" ht="37.5" customHeight="1">
      <c r="A16" s="357"/>
      <c r="B16" s="377" t="s">
        <v>389</v>
      </c>
      <c r="C16" s="372" t="s">
        <v>71</v>
      </c>
      <c r="D16" s="358"/>
      <c r="E16" s="359"/>
    </row>
    <row r="17" spans="1:5" ht="12.75">
      <c r="A17" s="357"/>
      <c r="B17" s="344" t="s">
        <v>390</v>
      </c>
      <c r="C17" s="372"/>
      <c r="D17" s="358">
        <v>244.9</v>
      </c>
      <c r="E17" s="359">
        <v>142.00699999999998</v>
      </c>
    </row>
    <row r="18" spans="1:5" ht="12.75">
      <c r="A18" s="357"/>
      <c r="B18" s="345" t="s">
        <v>391</v>
      </c>
      <c r="C18" s="373" t="s">
        <v>71</v>
      </c>
      <c r="D18" s="360">
        <v>136.2</v>
      </c>
      <c r="E18" s="352">
        <v>133.307</v>
      </c>
    </row>
    <row r="19" spans="1:5" ht="12.75">
      <c r="A19" s="357"/>
      <c r="B19" s="345" t="s">
        <v>392</v>
      </c>
      <c r="C19" s="373" t="s">
        <v>71</v>
      </c>
      <c r="D19" s="360">
        <v>9.4</v>
      </c>
      <c r="E19" s="367">
        <v>8.7</v>
      </c>
    </row>
    <row r="20" spans="1:5" ht="25.5" customHeight="1">
      <c r="A20" s="357"/>
      <c r="B20" s="349" t="s">
        <v>393</v>
      </c>
      <c r="C20" s="380" t="s">
        <v>394</v>
      </c>
      <c r="D20" s="360">
        <v>16</v>
      </c>
      <c r="E20" s="352"/>
    </row>
    <row r="21" spans="1:5" ht="12.75">
      <c r="A21" s="357"/>
      <c r="B21" s="349" t="s">
        <v>395</v>
      </c>
      <c r="C21" s="380" t="s">
        <v>72</v>
      </c>
      <c r="D21" s="360">
        <v>83.3</v>
      </c>
      <c r="E21" s="352"/>
    </row>
    <row r="22" spans="1:5" ht="12.75">
      <c r="A22" s="357"/>
      <c r="B22" s="344" t="s">
        <v>396</v>
      </c>
      <c r="C22" s="372" t="s">
        <v>71</v>
      </c>
      <c r="D22" s="358">
        <v>7</v>
      </c>
      <c r="E22" s="359">
        <v>6.3</v>
      </c>
    </row>
    <row r="23" spans="1:5" ht="12.75">
      <c r="A23" s="357"/>
      <c r="B23" s="344" t="s">
        <v>397</v>
      </c>
      <c r="C23" s="372" t="s">
        <v>71</v>
      </c>
      <c r="D23" s="358">
        <v>0.2</v>
      </c>
      <c r="E23" s="362"/>
    </row>
    <row r="24" spans="1:5" ht="12.75" customHeight="1">
      <c r="A24" s="357"/>
      <c r="B24" s="344" t="s">
        <v>398</v>
      </c>
      <c r="C24" s="372"/>
      <c r="D24" s="358">
        <v>391.7</v>
      </c>
      <c r="E24" s="350">
        <v>10.3</v>
      </c>
    </row>
    <row r="25" spans="1:5" ht="12.75">
      <c r="A25" s="357"/>
      <c r="B25" s="345" t="s">
        <v>399</v>
      </c>
      <c r="C25" s="373" t="s">
        <v>400</v>
      </c>
      <c r="D25" s="360">
        <v>376</v>
      </c>
      <c r="E25" s="352"/>
    </row>
    <row r="26" spans="1:5" ht="12.75">
      <c r="A26" s="357"/>
      <c r="B26" s="345" t="s">
        <v>401</v>
      </c>
      <c r="C26" s="373" t="s">
        <v>71</v>
      </c>
      <c r="D26" s="360">
        <v>10.7</v>
      </c>
      <c r="E26" s="379">
        <v>10.3</v>
      </c>
    </row>
    <row r="27" spans="1:5" ht="12.75">
      <c r="A27" s="357"/>
      <c r="B27" s="345" t="s">
        <v>402</v>
      </c>
      <c r="C27" s="373" t="s">
        <v>403</v>
      </c>
      <c r="D27" s="360">
        <v>5</v>
      </c>
      <c r="E27" s="361"/>
    </row>
    <row r="28" spans="1:5" ht="12.75">
      <c r="A28" s="357"/>
      <c r="B28" s="344" t="s">
        <v>404</v>
      </c>
      <c r="C28" s="373"/>
      <c r="D28" s="358">
        <v>584.2</v>
      </c>
      <c r="E28" s="359">
        <v>322.03799999999995</v>
      </c>
    </row>
    <row r="29" spans="1:5" ht="12.75">
      <c r="A29" s="357"/>
      <c r="B29" s="345" t="s">
        <v>405</v>
      </c>
      <c r="C29" s="373" t="s">
        <v>400</v>
      </c>
      <c r="D29" s="360">
        <v>257.3</v>
      </c>
      <c r="E29" s="361"/>
    </row>
    <row r="30" spans="1:5" ht="12.75" customHeight="1">
      <c r="A30" s="357"/>
      <c r="B30" s="346" t="s">
        <v>401</v>
      </c>
      <c r="C30" s="374" t="s">
        <v>71</v>
      </c>
      <c r="D30" s="363">
        <v>7.7</v>
      </c>
      <c r="E30" s="386">
        <v>7.4</v>
      </c>
    </row>
    <row r="31" spans="1:5" ht="12.75">
      <c r="A31" s="357"/>
      <c r="B31" s="338" t="s">
        <v>406</v>
      </c>
      <c r="C31" s="380" t="s">
        <v>72</v>
      </c>
      <c r="D31" s="378">
        <v>319.2</v>
      </c>
      <c r="E31" s="379">
        <v>314.638</v>
      </c>
    </row>
    <row r="32" spans="1:5" ht="12.75">
      <c r="A32" s="357"/>
      <c r="B32" s="343" t="s">
        <v>407</v>
      </c>
      <c r="C32" s="376"/>
      <c r="D32" s="355">
        <v>212.39999999999998</v>
      </c>
      <c r="E32" s="366">
        <v>5.9</v>
      </c>
    </row>
    <row r="33" spans="1:5" ht="12.75">
      <c r="A33" s="357"/>
      <c r="B33" s="345" t="s">
        <v>408</v>
      </c>
      <c r="C33" s="375" t="s">
        <v>409</v>
      </c>
      <c r="D33" s="360">
        <v>6.168</v>
      </c>
      <c r="E33" s="367">
        <v>5.9</v>
      </c>
    </row>
    <row r="34" spans="1:5" ht="12.75">
      <c r="A34" s="357"/>
      <c r="B34" s="345" t="s">
        <v>410</v>
      </c>
      <c r="C34" s="373"/>
      <c r="D34" s="381">
        <v>206.23199999999997</v>
      </c>
      <c r="E34" s="340"/>
    </row>
    <row r="35" spans="1:5" ht="12.75">
      <c r="A35" s="357"/>
      <c r="B35" s="349" t="s">
        <v>411</v>
      </c>
      <c r="C35" s="375" t="s">
        <v>412</v>
      </c>
      <c r="D35" s="364">
        <v>26.52</v>
      </c>
      <c r="E35" s="340"/>
    </row>
    <row r="36" spans="1:5" ht="12.75">
      <c r="A36" s="357"/>
      <c r="B36" s="345"/>
      <c r="C36" s="375" t="s">
        <v>413</v>
      </c>
      <c r="D36" s="341">
        <v>10.608</v>
      </c>
      <c r="E36" s="340"/>
    </row>
    <row r="37" spans="1:5" ht="12.75">
      <c r="A37" s="357"/>
      <c r="B37" s="345"/>
      <c r="C37" s="375" t="s">
        <v>414</v>
      </c>
      <c r="D37" s="341">
        <v>11.856</v>
      </c>
      <c r="E37" s="340"/>
    </row>
    <row r="38" spans="1:5" ht="12.75">
      <c r="A38" s="357"/>
      <c r="B38" s="345"/>
      <c r="C38" s="375" t="s">
        <v>415</v>
      </c>
      <c r="D38" s="364">
        <v>4.68</v>
      </c>
      <c r="E38" s="340"/>
    </row>
    <row r="39" spans="1:5" ht="12.75">
      <c r="A39" s="357"/>
      <c r="B39" s="345"/>
      <c r="C39" s="375" t="s">
        <v>416</v>
      </c>
      <c r="D39" s="364">
        <v>7.488</v>
      </c>
      <c r="E39" s="340"/>
    </row>
    <row r="40" spans="1:5" ht="12.75">
      <c r="A40" s="357"/>
      <c r="B40" s="345"/>
      <c r="C40" s="375" t="s">
        <v>417</v>
      </c>
      <c r="D40" s="364">
        <v>20.904</v>
      </c>
      <c r="E40" s="340"/>
    </row>
    <row r="41" spans="1:5" ht="12.75">
      <c r="A41" s="357"/>
      <c r="B41" s="345"/>
      <c r="C41" s="375" t="s">
        <v>418</v>
      </c>
      <c r="D41" s="341">
        <v>19.344</v>
      </c>
      <c r="E41" s="340"/>
    </row>
    <row r="42" spans="1:5" ht="12.75">
      <c r="A42" s="357"/>
      <c r="B42" s="345"/>
      <c r="C42" s="375" t="s">
        <v>419</v>
      </c>
      <c r="D42" s="341">
        <v>6.552</v>
      </c>
      <c r="E42" s="340"/>
    </row>
    <row r="43" spans="1:5" ht="12.75">
      <c r="A43" s="357"/>
      <c r="B43" s="345"/>
      <c r="C43" s="375" t="s">
        <v>420</v>
      </c>
      <c r="D43" s="341">
        <v>35.568</v>
      </c>
      <c r="E43" s="340"/>
    </row>
    <row r="44" spans="1:5" ht="12.75">
      <c r="A44" s="357"/>
      <c r="B44" s="345"/>
      <c r="C44" s="375" t="s">
        <v>421</v>
      </c>
      <c r="D44" s="364">
        <v>62.712</v>
      </c>
      <c r="E44" s="340"/>
    </row>
    <row r="45" spans="1:5" ht="12.75">
      <c r="A45" s="357"/>
      <c r="B45" s="344" t="s">
        <v>422</v>
      </c>
      <c r="C45" s="372"/>
      <c r="D45" s="358">
        <v>7.7</v>
      </c>
      <c r="E45" s="350">
        <v>6.9</v>
      </c>
    </row>
    <row r="46" spans="1:5" ht="12.75">
      <c r="A46" s="357"/>
      <c r="B46" s="344" t="s">
        <v>423</v>
      </c>
      <c r="C46" s="375" t="s">
        <v>424</v>
      </c>
      <c r="D46" s="384">
        <v>7.7</v>
      </c>
      <c r="E46" s="379">
        <v>6.9</v>
      </c>
    </row>
    <row r="47" spans="1:5" ht="17.25" customHeight="1">
      <c r="A47" s="357"/>
      <c r="B47" s="344"/>
      <c r="C47" s="373" t="s">
        <v>400</v>
      </c>
      <c r="D47" s="384"/>
      <c r="E47" s="379"/>
    </row>
    <row r="48" spans="1:5" ht="25.5">
      <c r="A48" s="357"/>
      <c r="B48" s="377" t="s">
        <v>425</v>
      </c>
      <c r="C48" s="375" t="s">
        <v>424</v>
      </c>
      <c r="D48" s="358">
        <v>0.1</v>
      </c>
      <c r="E48" s="340"/>
    </row>
    <row r="49" spans="1:5" ht="12.75">
      <c r="A49" s="357"/>
      <c r="B49" s="344" t="s">
        <v>31</v>
      </c>
      <c r="C49" s="372"/>
      <c r="D49" s="358">
        <v>9.200000000000001</v>
      </c>
      <c r="E49" s="350"/>
    </row>
    <row r="50" spans="1:5" ht="12.75">
      <c r="A50" s="357"/>
      <c r="B50" s="349" t="s">
        <v>426</v>
      </c>
      <c r="C50" s="373" t="s">
        <v>412</v>
      </c>
      <c r="D50" s="360">
        <v>0.9</v>
      </c>
      <c r="E50" s="340"/>
    </row>
    <row r="51" spans="1:5" ht="12.75">
      <c r="A51" s="357"/>
      <c r="B51" s="345"/>
      <c r="C51" s="373" t="s">
        <v>413</v>
      </c>
      <c r="D51" s="360">
        <v>0.9</v>
      </c>
      <c r="E51" s="340"/>
    </row>
    <row r="52" spans="1:5" ht="12.75">
      <c r="A52" s="357"/>
      <c r="B52" s="345"/>
      <c r="C52" s="373" t="s">
        <v>414</v>
      </c>
      <c r="D52" s="360">
        <v>1</v>
      </c>
      <c r="E52" s="340"/>
    </row>
    <row r="53" spans="1:5" ht="12.75">
      <c r="A53" s="357"/>
      <c r="B53" s="345"/>
      <c r="C53" s="373" t="s">
        <v>415</v>
      </c>
      <c r="D53" s="360">
        <v>0.9</v>
      </c>
      <c r="E53" s="340"/>
    </row>
    <row r="54" spans="1:5" ht="12.75">
      <c r="A54" s="357"/>
      <c r="B54" s="345"/>
      <c r="C54" s="373" t="s">
        <v>416</v>
      </c>
      <c r="D54" s="360">
        <v>0.9</v>
      </c>
      <c r="E54" s="340"/>
    </row>
    <row r="55" spans="1:5" ht="12.75">
      <c r="A55" s="357"/>
      <c r="B55" s="345"/>
      <c r="C55" s="375" t="s">
        <v>417</v>
      </c>
      <c r="D55" s="360">
        <v>0.9</v>
      </c>
      <c r="E55" s="340"/>
    </row>
    <row r="56" spans="1:5" ht="12.75">
      <c r="A56" s="357"/>
      <c r="B56" s="345"/>
      <c r="C56" s="373" t="s">
        <v>418</v>
      </c>
      <c r="D56" s="360">
        <v>0.9</v>
      </c>
      <c r="E56" s="340"/>
    </row>
    <row r="57" spans="1:5" ht="12.75">
      <c r="A57" s="357"/>
      <c r="B57" s="345"/>
      <c r="C57" s="375" t="s">
        <v>419</v>
      </c>
      <c r="D57" s="360">
        <v>0.9</v>
      </c>
      <c r="E57" s="340"/>
    </row>
    <row r="58" spans="1:5" ht="12.75">
      <c r="A58" s="357"/>
      <c r="B58" s="345"/>
      <c r="C58" s="375" t="s">
        <v>420</v>
      </c>
      <c r="D58" s="360">
        <v>0.9</v>
      </c>
      <c r="E58" s="340"/>
    </row>
    <row r="59" spans="1:5" ht="12.75">
      <c r="A59" s="357"/>
      <c r="B59" s="345"/>
      <c r="C59" s="373" t="s">
        <v>421</v>
      </c>
      <c r="D59" s="360">
        <v>1</v>
      </c>
      <c r="E59" s="367"/>
    </row>
    <row r="60" spans="1:5" ht="12.75">
      <c r="A60" s="357"/>
      <c r="B60" s="344" t="s">
        <v>427</v>
      </c>
      <c r="C60" s="372"/>
      <c r="D60" s="368">
        <v>491.4</v>
      </c>
      <c r="E60" s="350">
        <v>191.83999999999997</v>
      </c>
    </row>
    <row r="61" spans="1:5" ht="12.75">
      <c r="A61" s="357"/>
      <c r="B61" s="345" t="s">
        <v>428</v>
      </c>
      <c r="C61" s="373" t="s">
        <v>429</v>
      </c>
      <c r="D61" s="369">
        <v>287</v>
      </c>
      <c r="E61" s="340"/>
    </row>
    <row r="62" spans="1:5" ht="12.75">
      <c r="A62" s="357"/>
      <c r="B62" s="345" t="s">
        <v>430</v>
      </c>
      <c r="C62" s="373"/>
      <c r="D62" s="368">
        <v>204.4</v>
      </c>
      <c r="E62" s="350">
        <v>191.83999999999997</v>
      </c>
    </row>
    <row r="63" spans="1:5" ht="15">
      <c r="A63" s="357"/>
      <c r="B63" s="349" t="s">
        <v>426</v>
      </c>
      <c r="C63" s="375" t="s">
        <v>412</v>
      </c>
      <c r="D63" s="383">
        <v>12.68</v>
      </c>
      <c r="E63" s="365">
        <v>11.96</v>
      </c>
    </row>
    <row r="64" spans="1:5" ht="15">
      <c r="A64" s="357"/>
      <c r="B64" s="345"/>
      <c r="C64" s="375" t="s">
        <v>413</v>
      </c>
      <c r="D64" s="383">
        <v>12.91</v>
      </c>
      <c r="E64" s="365">
        <v>12.33</v>
      </c>
    </row>
    <row r="65" spans="1:5" ht="15">
      <c r="A65" s="357"/>
      <c r="B65" s="345"/>
      <c r="C65" s="375" t="s">
        <v>414</v>
      </c>
      <c r="D65" s="383">
        <v>14.31</v>
      </c>
      <c r="E65" s="365">
        <v>13.56</v>
      </c>
    </row>
    <row r="66" spans="1:5" ht="15">
      <c r="A66" s="357"/>
      <c r="B66" s="345"/>
      <c r="C66" s="375" t="s">
        <v>416</v>
      </c>
      <c r="D66" s="383">
        <v>9.53</v>
      </c>
      <c r="E66" s="365">
        <v>9</v>
      </c>
    </row>
    <row r="67" spans="1:5" ht="15">
      <c r="A67" s="357"/>
      <c r="B67" s="345"/>
      <c r="C67" s="375" t="s">
        <v>418</v>
      </c>
      <c r="D67" s="383">
        <v>13.69</v>
      </c>
      <c r="E67" s="365">
        <v>12.95</v>
      </c>
    </row>
    <row r="68" spans="1:5" ht="15">
      <c r="A68" s="357"/>
      <c r="B68" s="345"/>
      <c r="C68" s="375" t="s">
        <v>419</v>
      </c>
      <c r="D68" s="383">
        <v>9.52</v>
      </c>
      <c r="E68" s="365">
        <v>9.02</v>
      </c>
    </row>
    <row r="69" spans="1:5" ht="15">
      <c r="A69" s="357"/>
      <c r="B69" s="345"/>
      <c r="C69" s="375" t="s">
        <v>420</v>
      </c>
      <c r="D69" s="383">
        <v>14.36</v>
      </c>
      <c r="E69" s="365">
        <v>13.56</v>
      </c>
    </row>
    <row r="70" spans="1:5" ht="15">
      <c r="A70" s="357"/>
      <c r="B70" s="345"/>
      <c r="C70" s="375" t="s">
        <v>424</v>
      </c>
      <c r="D70" s="383">
        <v>117.4</v>
      </c>
      <c r="E70" s="385">
        <v>109.46</v>
      </c>
    </row>
    <row r="71" spans="1:5" ht="12.75">
      <c r="A71" s="357"/>
      <c r="B71" s="344" t="s">
        <v>431</v>
      </c>
      <c r="C71" s="375" t="s">
        <v>424</v>
      </c>
      <c r="D71" s="358">
        <v>8.288</v>
      </c>
      <c r="E71" s="350">
        <v>4.522</v>
      </c>
    </row>
    <row r="72" spans="1:5" ht="12.75">
      <c r="A72" s="357"/>
      <c r="B72" s="344" t="s">
        <v>32</v>
      </c>
      <c r="C72" s="372" t="s">
        <v>32</v>
      </c>
      <c r="D72" s="358">
        <v>960.2</v>
      </c>
      <c r="E72" s="350">
        <v>895.932</v>
      </c>
    </row>
    <row r="73" spans="1:5" ht="27.75" customHeight="1" thickBot="1">
      <c r="A73" s="357"/>
      <c r="B73" s="347" t="s">
        <v>78</v>
      </c>
      <c r="C73" s="382" t="s">
        <v>41</v>
      </c>
      <c r="D73" s="370">
        <v>252.8</v>
      </c>
      <c r="E73" s="387">
        <v>174.8</v>
      </c>
    </row>
    <row r="74" spans="1:5" ht="16.5" thickBot="1">
      <c r="A74" s="353"/>
      <c r="B74" s="348" t="s">
        <v>432</v>
      </c>
      <c r="C74" s="342"/>
      <c r="D74" s="351">
        <v>3274.916</v>
      </c>
      <c r="E74" s="351">
        <v>1850.749</v>
      </c>
    </row>
  </sheetData>
  <sheetProtection/>
  <mergeCells count="5">
    <mergeCell ref="A7:A8"/>
    <mergeCell ref="B7:B8"/>
    <mergeCell ref="C7:C8"/>
    <mergeCell ref="D7:D8"/>
    <mergeCell ref="E7:E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76"/>
  <sheetViews>
    <sheetView zoomScalePageLayoutView="0" workbookViewId="0" topLeftCell="A34">
      <selection activeCell="C76" sqref="C76"/>
    </sheetView>
  </sheetViews>
  <sheetFormatPr defaultColWidth="9.140625" defaultRowHeight="12.75"/>
  <cols>
    <col min="1" max="1" width="3.140625" style="0" customWidth="1"/>
    <col min="2" max="2" width="46.421875" style="0" customWidth="1"/>
    <col min="3" max="3" width="11.28125" style="0" customWidth="1"/>
    <col min="4" max="4" width="12.421875" style="0" customWidth="1"/>
    <col min="5" max="5" width="11.851562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3" spans="1:5" ht="15.75">
      <c r="A3" s="447"/>
      <c r="B3" s="448"/>
      <c r="C3" s="448"/>
      <c r="D3" s="449" t="s">
        <v>70</v>
      </c>
      <c r="E3" s="447"/>
    </row>
    <row r="4" spans="1:5" ht="12.75">
      <c r="A4" s="447"/>
      <c r="B4" s="447"/>
      <c r="C4" s="447"/>
      <c r="D4" s="450" t="s">
        <v>623</v>
      </c>
      <c r="E4" s="451"/>
    </row>
    <row r="5" spans="1:5" ht="15.75">
      <c r="A5" s="447"/>
      <c r="B5" s="452"/>
      <c r="C5" s="452"/>
      <c r="D5" s="449" t="s">
        <v>531</v>
      </c>
      <c r="E5" s="447"/>
    </row>
    <row r="6" spans="1:6" ht="15.75">
      <c r="A6" s="447"/>
      <c r="B6" s="452"/>
      <c r="C6" s="452"/>
      <c r="D6" s="452"/>
      <c r="E6" s="447"/>
      <c r="F6" s="447"/>
    </row>
    <row r="7" spans="1:6" ht="15.75">
      <c r="A7" s="447"/>
      <c r="B7" s="453" t="s">
        <v>532</v>
      </c>
      <c r="C7" s="453"/>
      <c r="D7" s="453"/>
      <c r="E7" s="447"/>
      <c r="F7" s="447"/>
    </row>
    <row r="8" spans="1:6" ht="15.75">
      <c r="A8" s="447"/>
      <c r="B8" s="453" t="s">
        <v>622</v>
      </c>
      <c r="C8" s="453"/>
      <c r="D8" s="453"/>
      <c r="E8" s="447"/>
      <c r="F8" s="447"/>
    </row>
    <row r="9" spans="1:6" ht="12.75">
      <c r="A9" s="447"/>
      <c r="B9" s="447"/>
      <c r="C9" s="447"/>
      <c r="D9" s="447"/>
      <c r="E9" s="447"/>
      <c r="F9" s="447"/>
    </row>
    <row r="10" spans="1:6" ht="12.75">
      <c r="A10" s="447"/>
      <c r="B10" s="454"/>
      <c r="C10" s="454"/>
      <c r="D10" s="454"/>
      <c r="E10" s="447"/>
      <c r="F10" s="447"/>
    </row>
    <row r="11" spans="1:6" ht="1.5" customHeight="1">
      <c r="A11" s="447"/>
      <c r="B11" s="455"/>
      <c r="C11" s="455"/>
      <c r="D11" s="455"/>
      <c r="E11" s="456"/>
      <c r="F11" s="447"/>
    </row>
    <row r="12" spans="1:6" ht="12.75" customHeight="1" thickBot="1">
      <c r="A12" s="447"/>
      <c r="B12" s="455"/>
      <c r="C12" s="455"/>
      <c r="D12" s="455"/>
      <c r="E12" s="447" t="s">
        <v>533</v>
      </c>
      <c r="F12" s="447"/>
    </row>
    <row r="13" spans="1:6" ht="12.75">
      <c r="A13" s="1073" t="s">
        <v>534</v>
      </c>
      <c r="B13" s="1076" t="s">
        <v>535</v>
      </c>
      <c r="C13" s="1079" t="s">
        <v>536</v>
      </c>
      <c r="D13" s="1079" t="s">
        <v>537</v>
      </c>
      <c r="E13" s="1082" t="s">
        <v>538</v>
      </c>
      <c r="F13" s="1085" t="s">
        <v>683</v>
      </c>
    </row>
    <row r="14" spans="1:6" ht="20.25" customHeight="1">
      <c r="A14" s="1074"/>
      <c r="B14" s="1077"/>
      <c r="C14" s="1080"/>
      <c r="D14" s="1080"/>
      <c r="E14" s="1083"/>
      <c r="F14" s="1086"/>
    </row>
    <row r="15" spans="1:6" ht="15" customHeight="1" thickBot="1">
      <c r="A15" s="1075"/>
      <c r="B15" s="1078"/>
      <c r="C15" s="1081"/>
      <c r="D15" s="1081"/>
      <c r="E15" s="1084"/>
      <c r="F15" s="1087"/>
    </row>
    <row r="16" spans="1:6" ht="12.75">
      <c r="A16" s="827">
        <v>1</v>
      </c>
      <c r="B16" s="832" t="s">
        <v>71</v>
      </c>
      <c r="C16" s="826">
        <v>45228.91</v>
      </c>
      <c r="D16" s="826"/>
      <c r="E16" s="826">
        <v>26000</v>
      </c>
      <c r="F16" s="848">
        <v>4300</v>
      </c>
    </row>
    <row r="17" spans="1:6" ht="14.25" customHeight="1">
      <c r="A17" s="209">
        <v>2</v>
      </c>
      <c r="B17" s="833" t="s">
        <v>539</v>
      </c>
      <c r="C17" s="458">
        <v>45138.91</v>
      </c>
      <c r="D17" s="457"/>
      <c r="E17" s="457"/>
      <c r="F17" s="847"/>
    </row>
    <row r="18" spans="1:6" ht="14.25" customHeight="1">
      <c r="A18" s="209">
        <v>3</v>
      </c>
      <c r="B18" s="835" t="s">
        <v>191</v>
      </c>
      <c r="C18" s="458"/>
      <c r="D18" s="457"/>
      <c r="E18" s="822">
        <v>200</v>
      </c>
      <c r="F18" s="847">
        <v>100</v>
      </c>
    </row>
    <row r="19" spans="1:6" ht="14.25" customHeight="1">
      <c r="A19" s="209">
        <v>4</v>
      </c>
      <c r="B19" s="835" t="s">
        <v>682</v>
      </c>
      <c r="C19" s="458"/>
      <c r="D19" s="457"/>
      <c r="E19" s="457">
        <v>174100</v>
      </c>
      <c r="F19" s="834"/>
    </row>
    <row r="20" spans="1:6" ht="14.25" customHeight="1">
      <c r="A20" s="209">
        <v>5</v>
      </c>
      <c r="B20" s="821" t="s">
        <v>353</v>
      </c>
      <c r="C20" s="458"/>
      <c r="D20" s="457"/>
      <c r="E20" s="457">
        <v>17400</v>
      </c>
      <c r="F20" s="834"/>
    </row>
    <row r="21" spans="1:6" ht="14.25" customHeight="1">
      <c r="A21" s="209">
        <v>6</v>
      </c>
      <c r="B21" s="835" t="s">
        <v>394</v>
      </c>
      <c r="C21" s="458"/>
      <c r="D21" s="457"/>
      <c r="E21" s="457">
        <v>23200</v>
      </c>
      <c r="F21" s="834"/>
    </row>
    <row r="22" spans="1:6" ht="14.25" customHeight="1">
      <c r="A22" s="209">
        <v>7</v>
      </c>
      <c r="B22" s="835" t="s">
        <v>207</v>
      </c>
      <c r="C22" s="458"/>
      <c r="D22" s="457"/>
      <c r="E22" s="457">
        <v>14200</v>
      </c>
      <c r="F22" s="834"/>
    </row>
    <row r="23" spans="1:6" ht="12.75">
      <c r="A23" s="209">
        <v>8</v>
      </c>
      <c r="B23" s="836" t="s">
        <v>37</v>
      </c>
      <c r="C23" s="457">
        <v>16628.29</v>
      </c>
      <c r="D23" s="457"/>
      <c r="E23" s="457">
        <v>2800</v>
      </c>
      <c r="F23" s="834"/>
    </row>
    <row r="24" spans="1:6" ht="12.75">
      <c r="A24" s="209">
        <v>9</v>
      </c>
      <c r="B24" s="836" t="s">
        <v>38</v>
      </c>
      <c r="C24" s="457">
        <v>4555.99</v>
      </c>
      <c r="D24" s="457"/>
      <c r="E24" s="457">
        <v>6900</v>
      </c>
      <c r="F24" s="834"/>
    </row>
    <row r="25" spans="1:6" ht="12.75">
      <c r="A25" s="209">
        <v>10</v>
      </c>
      <c r="B25" s="836" t="s">
        <v>318</v>
      </c>
      <c r="C25" s="457"/>
      <c r="D25" s="457"/>
      <c r="E25" s="457">
        <v>1500</v>
      </c>
      <c r="F25" s="834"/>
    </row>
    <row r="26" spans="1:6" ht="12.75">
      <c r="A26" s="209">
        <v>11</v>
      </c>
      <c r="B26" s="837" t="s">
        <v>41</v>
      </c>
      <c r="C26" s="457">
        <v>11082.54</v>
      </c>
      <c r="D26" s="457"/>
      <c r="E26" s="457"/>
      <c r="F26" s="834"/>
    </row>
    <row r="27" spans="1:6" ht="12.75">
      <c r="A27" s="209">
        <v>12</v>
      </c>
      <c r="B27" s="837" t="s">
        <v>39</v>
      </c>
      <c r="C27" s="457"/>
      <c r="D27" s="457"/>
      <c r="E27" s="457">
        <v>2200</v>
      </c>
      <c r="F27" s="847">
        <v>800</v>
      </c>
    </row>
    <row r="28" spans="1:6" ht="13.5" customHeight="1">
      <c r="A28" s="209">
        <v>13</v>
      </c>
      <c r="B28" s="835" t="s">
        <v>72</v>
      </c>
      <c r="C28" s="457">
        <v>5205.41</v>
      </c>
      <c r="D28" s="457"/>
      <c r="E28" s="457">
        <v>9200</v>
      </c>
      <c r="F28" s="847">
        <v>3500</v>
      </c>
    </row>
    <row r="29" spans="1:6" ht="24" customHeight="1">
      <c r="A29" s="209">
        <v>14</v>
      </c>
      <c r="B29" s="838" t="s">
        <v>79</v>
      </c>
      <c r="C29" s="459">
        <v>12921.69</v>
      </c>
      <c r="D29" s="457"/>
      <c r="E29" s="457">
        <v>400</v>
      </c>
      <c r="F29" s="847"/>
    </row>
    <row r="30" spans="1:6" ht="15" customHeight="1">
      <c r="A30" s="209">
        <v>15</v>
      </c>
      <c r="B30" s="838" t="s">
        <v>311</v>
      </c>
      <c r="C30" s="459">
        <v>136747.3</v>
      </c>
      <c r="D30" s="457"/>
      <c r="E30" s="457">
        <v>600</v>
      </c>
      <c r="F30" s="847"/>
    </row>
    <row r="31" spans="1:6" ht="15" customHeight="1">
      <c r="A31" s="209">
        <v>16</v>
      </c>
      <c r="B31" s="927" t="s">
        <v>700</v>
      </c>
      <c r="C31" s="928">
        <v>90000</v>
      </c>
      <c r="D31" s="458"/>
      <c r="E31" s="457"/>
      <c r="F31" s="847"/>
    </row>
    <row r="32" spans="1:6" ht="15" customHeight="1">
      <c r="A32" s="209">
        <v>17</v>
      </c>
      <c r="B32" s="838" t="s">
        <v>42</v>
      </c>
      <c r="C32" s="459"/>
      <c r="D32" s="457"/>
      <c r="E32" s="457">
        <v>2700</v>
      </c>
      <c r="F32" s="847">
        <v>100</v>
      </c>
    </row>
    <row r="33" spans="1:6" ht="12.75">
      <c r="A33" s="209">
        <v>18</v>
      </c>
      <c r="B33" s="836" t="s">
        <v>43</v>
      </c>
      <c r="C33" s="457">
        <v>1738.9</v>
      </c>
      <c r="D33" s="457"/>
      <c r="E33" s="457">
        <v>800</v>
      </c>
      <c r="F33" s="847">
        <v>400</v>
      </c>
    </row>
    <row r="34" spans="1:6" ht="12.75">
      <c r="A34" s="209">
        <v>19</v>
      </c>
      <c r="B34" s="836" t="s">
        <v>44</v>
      </c>
      <c r="C34" s="457">
        <v>532.94</v>
      </c>
      <c r="D34" s="457"/>
      <c r="E34" s="457">
        <v>3000</v>
      </c>
      <c r="F34" s="847">
        <v>1200</v>
      </c>
    </row>
    <row r="35" spans="1:6" ht="12.75">
      <c r="A35" s="209">
        <v>20</v>
      </c>
      <c r="B35" s="836" t="s">
        <v>45</v>
      </c>
      <c r="C35" s="457"/>
      <c r="D35" s="457"/>
      <c r="E35" s="457">
        <v>1600</v>
      </c>
      <c r="F35" s="847">
        <v>1000</v>
      </c>
    </row>
    <row r="36" spans="1:6" ht="12.75">
      <c r="A36" s="209">
        <v>21</v>
      </c>
      <c r="B36" s="836" t="s">
        <v>46</v>
      </c>
      <c r="C36" s="457">
        <v>4678.54</v>
      </c>
      <c r="D36" s="457"/>
      <c r="E36" s="457">
        <v>400</v>
      </c>
      <c r="F36" s="847"/>
    </row>
    <row r="37" spans="1:6" ht="12.75">
      <c r="A37" s="209">
        <v>22</v>
      </c>
      <c r="B37" s="836" t="s">
        <v>47</v>
      </c>
      <c r="C37" s="457"/>
      <c r="D37" s="457"/>
      <c r="E37" s="457">
        <v>400</v>
      </c>
      <c r="F37" s="847">
        <v>300</v>
      </c>
    </row>
    <row r="38" spans="1:6" ht="12.75">
      <c r="A38" s="209">
        <v>23</v>
      </c>
      <c r="B38" s="836" t="s">
        <v>540</v>
      </c>
      <c r="C38" s="457">
        <v>237.06</v>
      </c>
      <c r="D38" s="457"/>
      <c r="E38" s="457">
        <v>200</v>
      </c>
      <c r="F38" s="847">
        <v>100</v>
      </c>
    </row>
    <row r="39" spans="1:6" ht="12.75">
      <c r="A39" s="209">
        <v>24</v>
      </c>
      <c r="B39" s="836" t="s">
        <v>73</v>
      </c>
      <c r="C39" s="457">
        <v>1500.56</v>
      </c>
      <c r="D39" s="457"/>
      <c r="E39" s="457">
        <v>7200</v>
      </c>
      <c r="F39" s="847">
        <v>200</v>
      </c>
    </row>
    <row r="40" spans="1:6" ht="12.75">
      <c r="A40" s="209">
        <v>25</v>
      </c>
      <c r="B40" s="836" t="s">
        <v>51</v>
      </c>
      <c r="C40" s="457">
        <v>8307.47</v>
      </c>
      <c r="D40" s="457"/>
      <c r="E40" s="457">
        <v>8400</v>
      </c>
      <c r="F40" s="834"/>
    </row>
    <row r="41" spans="1:6" ht="12.75">
      <c r="A41" s="209">
        <v>26</v>
      </c>
      <c r="B41" s="836" t="s">
        <v>74</v>
      </c>
      <c r="C41" s="457">
        <v>1836.04</v>
      </c>
      <c r="D41" s="457"/>
      <c r="E41" s="457">
        <v>2000</v>
      </c>
      <c r="F41" s="834"/>
    </row>
    <row r="42" spans="1:6" ht="12.75">
      <c r="A42" s="209">
        <v>27</v>
      </c>
      <c r="B42" s="836" t="s">
        <v>75</v>
      </c>
      <c r="C42" s="457">
        <v>6852.61</v>
      </c>
      <c r="D42" s="457"/>
      <c r="E42" s="457">
        <v>3700</v>
      </c>
      <c r="F42" s="834"/>
    </row>
    <row r="43" spans="1:6" ht="12.75">
      <c r="A43" s="209">
        <v>28</v>
      </c>
      <c r="B43" s="836" t="s">
        <v>54</v>
      </c>
      <c r="C43" s="457">
        <v>1994.15</v>
      </c>
      <c r="D43" s="457"/>
      <c r="E43" s="457">
        <v>5900</v>
      </c>
      <c r="F43" s="834"/>
    </row>
    <row r="44" spans="1:6" ht="12.75">
      <c r="A44" s="209">
        <v>29</v>
      </c>
      <c r="B44" s="836" t="s">
        <v>56</v>
      </c>
      <c r="C44" s="457">
        <v>111.75</v>
      </c>
      <c r="D44" s="457"/>
      <c r="E44" s="457">
        <v>2900</v>
      </c>
      <c r="F44" s="834"/>
    </row>
    <row r="45" spans="1:6" ht="12.75">
      <c r="A45" s="209">
        <v>30</v>
      </c>
      <c r="B45" s="836" t="s">
        <v>85</v>
      </c>
      <c r="C45" s="457">
        <v>11175.84</v>
      </c>
      <c r="D45" s="457"/>
      <c r="E45" s="457">
        <v>3000</v>
      </c>
      <c r="F45" s="834"/>
    </row>
    <row r="46" spans="1:6" ht="12.75">
      <c r="A46" s="209">
        <v>31</v>
      </c>
      <c r="B46" s="836" t="s">
        <v>165</v>
      </c>
      <c r="C46" s="457">
        <v>1677.32</v>
      </c>
      <c r="D46" s="457"/>
      <c r="E46" s="457">
        <v>200</v>
      </c>
      <c r="F46" s="834"/>
    </row>
    <row r="47" spans="1:6" ht="12.75">
      <c r="A47" s="209">
        <v>32</v>
      </c>
      <c r="B47" s="836" t="s">
        <v>166</v>
      </c>
      <c r="C47" s="457">
        <v>110.71</v>
      </c>
      <c r="D47" s="457"/>
      <c r="E47" s="457"/>
      <c r="F47" s="834"/>
    </row>
    <row r="48" spans="1:6" ht="12.75">
      <c r="A48" s="209">
        <v>33</v>
      </c>
      <c r="B48" s="836" t="s">
        <v>58</v>
      </c>
      <c r="C48" s="457"/>
      <c r="D48" s="457"/>
      <c r="E48" s="457">
        <v>155</v>
      </c>
      <c r="F48" s="834"/>
    </row>
    <row r="49" spans="1:6" ht="12.75">
      <c r="A49" s="209">
        <v>34</v>
      </c>
      <c r="B49" s="836" t="s">
        <v>305</v>
      </c>
      <c r="C49" s="457">
        <v>3.24</v>
      </c>
      <c r="D49" s="457"/>
      <c r="E49" s="457">
        <v>145</v>
      </c>
      <c r="F49" s="834"/>
    </row>
    <row r="50" spans="1:6" ht="12.75">
      <c r="A50" s="209">
        <v>35</v>
      </c>
      <c r="B50" s="819" t="s">
        <v>172</v>
      </c>
      <c r="C50" s="457"/>
      <c r="D50" s="457"/>
      <c r="E50" s="457">
        <v>100</v>
      </c>
      <c r="F50" s="834"/>
    </row>
    <row r="51" spans="1:6" ht="12.75">
      <c r="A51" s="209">
        <v>36</v>
      </c>
      <c r="B51" s="836" t="s">
        <v>541</v>
      </c>
      <c r="C51" s="457">
        <v>158.88</v>
      </c>
      <c r="D51" s="457"/>
      <c r="E51" s="457"/>
      <c r="F51" s="834"/>
    </row>
    <row r="52" spans="1:6" ht="12.75">
      <c r="A52" s="209">
        <v>37</v>
      </c>
      <c r="B52" s="836" t="s">
        <v>80</v>
      </c>
      <c r="C52" s="457">
        <v>1812.7</v>
      </c>
      <c r="D52" s="457"/>
      <c r="E52" s="457">
        <v>3500</v>
      </c>
      <c r="F52" s="834"/>
    </row>
    <row r="53" spans="1:6" ht="12.75">
      <c r="A53" s="209">
        <v>38</v>
      </c>
      <c r="B53" s="836" t="s">
        <v>62</v>
      </c>
      <c r="C53" s="457">
        <v>60.33</v>
      </c>
      <c r="D53" s="457"/>
      <c r="E53" s="457">
        <v>1100</v>
      </c>
      <c r="F53" s="834"/>
    </row>
    <row r="54" spans="1:6" ht="12.75">
      <c r="A54" s="209">
        <v>39</v>
      </c>
      <c r="B54" s="836" t="s">
        <v>687</v>
      </c>
      <c r="C54" s="457">
        <v>105</v>
      </c>
      <c r="D54" s="457"/>
      <c r="E54" s="457"/>
      <c r="F54" s="834"/>
    </row>
    <row r="55" spans="1:6" ht="12.75">
      <c r="A55" s="209">
        <v>40</v>
      </c>
      <c r="B55" s="836" t="s">
        <v>542</v>
      </c>
      <c r="C55" s="457">
        <v>3987.26</v>
      </c>
      <c r="D55" s="457"/>
      <c r="E55" s="457"/>
      <c r="F55" s="834"/>
    </row>
    <row r="56" spans="1:6" ht="12.75">
      <c r="A56" s="209">
        <v>41</v>
      </c>
      <c r="B56" s="836" t="s">
        <v>63</v>
      </c>
      <c r="C56" s="457">
        <v>1005.67</v>
      </c>
      <c r="D56" s="457"/>
      <c r="E56" s="457">
        <v>6100</v>
      </c>
      <c r="F56" s="846">
        <v>400</v>
      </c>
    </row>
    <row r="57" spans="1:6" ht="12.75">
      <c r="A57" s="209">
        <v>42</v>
      </c>
      <c r="B57" s="836" t="s">
        <v>543</v>
      </c>
      <c r="C57" s="457">
        <v>767.5</v>
      </c>
      <c r="D57" s="457"/>
      <c r="E57" s="457"/>
      <c r="F57" s="834"/>
    </row>
    <row r="58" spans="1:6" ht="12.75">
      <c r="A58" s="209">
        <v>43</v>
      </c>
      <c r="B58" s="836" t="s">
        <v>686</v>
      </c>
      <c r="C58" s="457">
        <v>26</v>
      </c>
      <c r="D58" s="457"/>
      <c r="E58" s="457"/>
      <c r="F58" s="834"/>
    </row>
    <row r="59" spans="1:6" ht="12.75">
      <c r="A59" s="209">
        <v>44</v>
      </c>
      <c r="B59" s="836" t="s">
        <v>64</v>
      </c>
      <c r="C59" s="457"/>
      <c r="D59" s="457"/>
      <c r="E59" s="457">
        <v>4600</v>
      </c>
      <c r="F59" s="834"/>
    </row>
    <row r="60" spans="1:6" ht="12.75">
      <c r="A60" s="209">
        <v>45</v>
      </c>
      <c r="B60" s="836" t="s">
        <v>685</v>
      </c>
      <c r="C60" s="457"/>
      <c r="D60" s="457"/>
      <c r="E60" s="457">
        <v>400</v>
      </c>
      <c r="F60" s="847">
        <v>400</v>
      </c>
    </row>
    <row r="61" spans="1:6" ht="12.75">
      <c r="A61" s="209">
        <v>46</v>
      </c>
      <c r="B61" s="836" t="s">
        <v>65</v>
      </c>
      <c r="C61" s="457"/>
      <c r="D61" s="457"/>
      <c r="E61" s="457">
        <v>13300</v>
      </c>
      <c r="F61" s="834"/>
    </row>
    <row r="62" spans="1:6" ht="12.75">
      <c r="A62" s="209">
        <v>47</v>
      </c>
      <c r="B62" s="836" t="s">
        <v>66</v>
      </c>
      <c r="C62" s="457">
        <v>4370.64</v>
      </c>
      <c r="D62" s="457"/>
      <c r="E62" s="457">
        <v>700</v>
      </c>
      <c r="F62" s="834"/>
    </row>
    <row r="63" spans="1:6" ht="12.75">
      <c r="A63" s="209">
        <v>48</v>
      </c>
      <c r="B63" s="836" t="s">
        <v>77</v>
      </c>
      <c r="C63" s="457">
        <v>2351.09</v>
      </c>
      <c r="D63" s="457"/>
      <c r="E63" s="457"/>
      <c r="F63" s="834"/>
    </row>
    <row r="64" spans="1:6" ht="12.75">
      <c r="A64" s="209">
        <v>49</v>
      </c>
      <c r="B64" s="836" t="s">
        <v>68</v>
      </c>
      <c r="C64" s="457">
        <v>4843.76</v>
      </c>
      <c r="D64" s="457"/>
      <c r="E64" s="457"/>
      <c r="F64" s="834"/>
    </row>
    <row r="65" spans="1:6" ht="12.75">
      <c r="A65" s="209">
        <v>50</v>
      </c>
      <c r="B65" s="820" t="s">
        <v>69</v>
      </c>
      <c r="C65" s="457"/>
      <c r="D65" s="457"/>
      <c r="E65" s="457">
        <v>100</v>
      </c>
      <c r="F65" s="834"/>
    </row>
    <row r="66" spans="1:6" ht="12.75">
      <c r="A66" s="209">
        <v>51</v>
      </c>
      <c r="B66" s="836" t="s">
        <v>180</v>
      </c>
      <c r="C66" s="457">
        <v>2234.45</v>
      </c>
      <c r="D66" s="457"/>
      <c r="E66" s="457">
        <v>4800</v>
      </c>
      <c r="F66" s="834"/>
    </row>
    <row r="67" spans="1:6" ht="12.75">
      <c r="A67" s="209">
        <v>52</v>
      </c>
      <c r="B67" s="836" t="s">
        <v>544</v>
      </c>
      <c r="C67" s="457">
        <v>256.32</v>
      </c>
      <c r="D67" s="457"/>
      <c r="E67" s="457"/>
      <c r="F67" s="834"/>
    </row>
    <row r="68" spans="1:6" ht="23.25" customHeight="1">
      <c r="A68" s="828">
        <v>53</v>
      </c>
      <c r="B68" s="839" t="s">
        <v>545</v>
      </c>
      <c r="C68" s="457"/>
      <c r="D68" s="457">
        <v>91589.48</v>
      </c>
      <c r="E68" s="457"/>
      <c r="F68" s="834"/>
    </row>
    <row r="69" spans="1:6" ht="14.25" customHeight="1">
      <c r="A69" s="829">
        <v>54</v>
      </c>
      <c r="B69" s="840" t="s">
        <v>207</v>
      </c>
      <c r="C69" s="460"/>
      <c r="D69" s="460"/>
      <c r="E69" s="912">
        <v>20614.37</v>
      </c>
      <c r="F69" s="834"/>
    </row>
    <row r="70" spans="1:6" ht="27" customHeight="1">
      <c r="A70" s="828">
        <v>55</v>
      </c>
      <c r="B70" s="839" t="s">
        <v>546</v>
      </c>
      <c r="C70" s="457"/>
      <c r="D70" s="457"/>
      <c r="E70" s="458">
        <v>20614.37</v>
      </c>
      <c r="F70" s="834"/>
    </row>
    <row r="71" spans="1:6" ht="12.75" customHeight="1">
      <c r="A71" s="828">
        <v>56</v>
      </c>
      <c r="B71" s="839" t="s">
        <v>204</v>
      </c>
      <c r="C71" s="457"/>
      <c r="D71" s="457"/>
      <c r="E71" s="457">
        <v>347900</v>
      </c>
      <c r="F71" s="834"/>
    </row>
    <row r="72" spans="1:6" ht="13.5" customHeight="1" thickBot="1">
      <c r="A72" s="830">
        <v>57</v>
      </c>
      <c r="B72" s="841" t="s">
        <v>696</v>
      </c>
      <c r="C72" s="823"/>
      <c r="D72" s="823"/>
      <c r="E72" s="823">
        <v>347900</v>
      </c>
      <c r="F72" s="842"/>
    </row>
    <row r="73" spans="1:6" ht="13.5" thickBot="1">
      <c r="A73" s="831">
        <v>58</v>
      </c>
      <c r="B73" s="843" t="s">
        <v>87</v>
      </c>
      <c r="C73" s="824">
        <f>SUM(C16:C67)-C17-C31</f>
        <v>295106.8600000001</v>
      </c>
      <c r="D73" s="824">
        <f>D68</f>
        <v>91589.48</v>
      </c>
      <c r="E73" s="824">
        <f>SUM(E16:E67)+E69+E71</f>
        <v>724614.37</v>
      </c>
      <c r="F73" s="825">
        <f>+SUM(F16:F67)+F69+F71</f>
        <v>12800</v>
      </c>
    </row>
    <row r="74" spans="1:6" ht="12.75">
      <c r="A74" s="447"/>
      <c r="B74" s="447"/>
      <c r="C74" s="447"/>
      <c r="D74" s="447"/>
      <c r="E74" s="447"/>
      <c r="F74" s="447"/>
    </row>
    <row r="75" spans="5:6" ht="12.75">
      <c r="E75" s="446"/>
      <c r="F75" s="446"/>
    </row>
    <row r="76" ht="12.75">
      <c r="C76" s="446"/>
    </row>
  </sheetData>
  <sheetProtection/>
  <mergeCells count="6">
    <mergeCell ref="A13:A15"/>
    <mergeCell ref="B13:B15"/>
    <mergeCell ref="C13:C15"/>
    <mergeCell ref="D13:D15"/>
    <mergeCell ref="E13:E15"/>
    <mergeCell ref="F13:F15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31">
      <selection activeCell="X26" sqref="X26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8.57421875" style="0" customWidth="1"/>
    <col min="13" max="13" width="11.7109375" style="0" customWidth="1"/>
    <col min="14" max="14" width="10.7109375" style="0" customWidth="1"/>
    <col min="15" max="15" width="16.7109375" style="0" customWidth="1"/>
  </cols>
  <sheetData>
    <row r="2" spans="1:15" ht="12.75">
      <c r="A2" s="10"/>
      <c r="B2" s="10"/>
      <c r="C2" s="10"/>
      <c r="D2" s="10"/>
      <c r="E2" s="10"/>
      <c r="F2" s="10"/>
      <c r="G2" s="10"/>
      <c r="H2" s="10"/>
      <c r="M2" s="10" t="s">
        <v>548</v>
      </c>
      <c r="N2" s="10"/>
      <c r="O2" s="10"/>
    </row>
    <row r="3" spans="1:15" ht="12.75">
      <c r="A3" s="10"/>
      <c r="B3" s="10"/>
      <c r="C3" s="10"/>
      <c r="D3" s="10"/>
      <c r="E3" s="10"/>
      <c r="F3" s="10"/>
      <c r="G3" s="10"/>
      <c r="H3" s="10"/>
      <c r="M3" s="10" t="s">
        <v>621</v>
      </c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M4" s="10" t="s">
        <v>549</v>
      </c>
      <c r="N4" s="10"/>
      <c r="O4" s="10"/>
    </row>
    <row r="5" spans="1:14" ht="13.5" customHeight="1">
      <c r="A5" s="10"/>
      <c r="B5" s="10"/>
      <c r="C5" s="10"/>
      <c r="D5" s="10"/>
      <c r="E5" s="10"/>
      <c r="F5" s="10"/>
      <c r="G5" s="10"/>
      <c r="H5" s="10"/>
      <c r="N5" s="462"/>
    </row>
    <row r="6" spans="1:14" ht="12.75">
      <c r="A6" s="10"/>
      <c r="B6" s="1088" t="s">
        <v>550</v>
      </c>
      <c r="C6" s="1089"/>
      <c r="D6" s="1089"/>
      <c r="E6" s="1089"/>
      <c r="F6" s="1089"/>
      <c r="G6" s="1089"/>
      <c r="H6" s="10"/>
      <c r="I6" s="462"/>
      <c r="N6" s="462"/>
    </row>
    <row r="7" spans="1:14" ht="37.5" customHeight="1">
      <c r="A7" s="10"/>
      <c r="B7" s="1089"/>
      <c r="C7" s="1089"/>
      <c r="D7" s="1089"/>
      <c r="E7" s="1089"/>
      <c r="F7" s="1089"/>
      <c r="G7" s="1089"/>
      <c r="H7" s="10"/>
      <c r="I7" s="462"/>
      <c r="N7" s="462"/>
    </row>
    <row r="8" spans="1:9" ht="12.75" customHeight="1">
      <c r="A8" s="463"/>
      <c r="B8" s="463"/>
      <c r="C8" s="463"/>
      <c r="D8" s="10"/>
      <c r="E8" s="10"/>
      <c r="F8" s="10"/>
      <c r="G8" s="10"/>
      <c r="H8" s="10"/>
      <c r="I8" s="462"/>
    </row>
    <row r="9" ht="12" customHeight="1"/>
    <row r="10" ht="13.5" thickBot="1">
      <c r="J10" s="10" t="s">
        <v>551</v>
      </c>
    </row>
    <row r="11" spans="1:15" ht="12.75">
      <c r="A11" s="1090" t="s">
        <v>0</v>
      </c>
      <c r="B11" s="1093" t="s">
        <v>552</v>
      </c>
      <c r="C11" s="1096" t="s">
        <v>553</v>
      </c>
      <c r="D11" s="1098" t="s">
        <v>554</v>
      </c>
      <c r="E11" s="1099"/>
      <c r="F11" s="1099"/>
      <c r="G11" s="1099"/>
      <c r="H11" s="1100"/>
      <c r="I11" s="1101" t="s">
        <v>555</v>
      </c>
      <c r="J11" s="1101"/>
      <c r="K11" s="1101"/>
      <c r="L11" s="1101"/>
      <c r="M11" s="1101"/>
      <c r="N11" s="1102"/>
      <c r="O11" s="464" t="s">
        <v>556</v>
      </c>
    </row>
    <row r="12" spans="1:15" ht="12.75" customHeight="1">
      <c r="A12" s="1091"/>
      <c r="B12" s="1094"/>
      <c r="C12" s="1097"/>
      <c r="D12" s="1103" t="s">
        <v>557</v>
      </c>
      <c r="E12" s="1105" t="s">
        <v>558</v>
      </c>
      <c r="F12" s="1107" t="s">
        <v>559</v>
      </c>
      <c r="G12" s="1109" t="s">
        <v>560</v>
      </c>
      <c r="H12" s="1111" t="s">
        <v>561</v>
      </c>
      <c r="I12" s="465"/>
      <c r="J12" s="465"/>
      <c r="K12" s="465"/>
      <c r="L12" s="465"/>
      <c r="M12" s="1113"/>
      <c r="N12" s="992"/>
      <c r="O12" s="1114"/>
    </row>
    <row r="13" spans="1:15" ht="27.75" customHeight="1" thickBot="1">
      <c r="A13" s="1092"/>
      <c r="B13" s="1095"/>
      <c r="C13" s="1097"/>
      <c r="D13" s="1104"/>
      <c r="E13" s="1106"/>
      <c r="F13" s="1108"/>
      <c r="G13" s="1110"/>
      <c r="H13" s="1112"/>
      <c r="I13" s="466" t="s">
        <v>562</v>
      </c>
      <c r="J13" s="467" t="s">
        <v>563</v>
      </c>
      <c r="K13" s="467" t="s">
        <v>564</v>
      </c>
      <c r="L13" s="467" t="s">
        <v>559</v>
      </c>
      <c r="M13" s="467" t="s">
        <v>565</v>
      </c>
      <c r="N13" s="468" t="s">
        <v>566</v>
      </c>
      <c r="O13" s="1115"/>
    </row>
    <row r="14" spans="1:15" ht="53.25" customHeight="1" thickBot="1">
      <c r="A14" s="469">
        <v>1</v>
      </c>
      <c r="B14" s="472" t="s">
        <v>567</v>
      </c>
      <c r="C14" s="473">
        <v>307.987</v>
      </c>
      <c r="D14" s="473"/>
      <c r="E14" s="473">
        <v>142.694</v>
      </c>
      <c r="F14" s="473"/>
      <c r="G14" s="473">
        <v>165.292</v>
      </c>
      <c r="H14" s="474"/>
      <c r="I14" s="475">
        <v>307.987</v>
      </c>
      <c r="J14" s="476">
        <v>142.694</v>
      </c>
      <c r="K14" s="476"/>
      <c r="L14" s="476"/>
      <c r="M14" s="476">
        <v>165.292</v>
      </c>
      <c r="N14" s="476"/>
      <c r="O14" s="477" t="s">
        <v>568</v>
      </c>
    </row>
    <row r="15" spans="1:15" ht="53.25" customHeight="1">
      <c r="A15" s="740">
        <v>2</v>
      </c>
      <c r="B15" s="916" t="s">
        <v>569</v>
      </c>
      <c r="C15" s="917">
        <v>350.2</v>
      </c>
      <c r="D15" s="917">
        <v>298</v>
      </c>
      <c r="E15" s="917"/>
      <c r="F15" s="917"/>
      <c r="G15" s="917">
        <v>52.2</v>
      </c>
      <c r="H15" s="918"/>
      <c r="I15" s="920">
        <v>193.6</v>
      </c>
      <c r="J15" s="921">
        <v>164.6</v>
      </c>
      <c r="K15" s="921"/>
      <c r="L15" s="921"/>
      <c r="M15" s="921">
        <v>29</v>
      </c>
      <c r="N15" s="921"/>
      <c r="O15" s="919" t="s">
        <v>570</v>
      </c>
    </row>
    <row r="16" spans="1:15" ht="59.25" customHeight="1">
      <c r="A16" s="741">
        <v>3</v>
      </c>
      <c r="B16" s="472" t="s">
        <v>571</v>
      </c>
      <c r="C16" s="478">
        <v>539</v>
      </c>
      <c r="D16" s="473">
        <v>440</v>
      </c>
      <c r="E16" s="473">
        <v>39</v>
      </c>
      <c r="F16" s="473"/>
      <c r="G16" s="473">
        <v>60</v>
      </c>
      <c r="H16" s="474"/>
      <c r="I16" s="479">
        <v>327.5</v>
      </c>
      <c r="J16" s="480">
        <v>261</v>
      </c>
      <c r="K16" s="480">
        <v>23</v>
      </c>
      <c r="L16" s="480"/>
      <c r="M16" s="480">
        <v>23</v>
      </c>
      <c r="N16" s="480">
        <v>20.5</v>
      </c>
      <c r="O16" s="477" t="s">
        <v>572</v>
      </c>
    </row>
    <row r="17" spans="1:15" ht="105" customHeight="1">
      <c r="A17" s="741">
        <v>4</v>
      </c>
      <c r="B17" s="472" t="s">
        <v>573</v>
      </c>
      <c r="C17" s="473">
        <v>372</v>
      </c>
      <c r="D17" s="473">
        <v>316.2</v>
      </c>
      <c r="E17" s="473"/>
      <c r="F17" s="473"/>
      <c r="G17" s="478">
        <v>55.8</v>
      </c>
      <c r="H17" s="481"/>
      <c r="I17" s="485">
        <v>360.8</v>
      </c>
      <c r="J17" s="486">
        <v>306.7</v>
      </c>
      <c r="K17" s="486"/>
      <c r="L17" s="486"/>
      <c r="M17" s="486">
        <v>54.1</v>
      </c>
      <c r="N17" s="486"/>
      <c r="O17" s="477"/>
    </row>
    <row r="18" spans="1:15" ht="76.5">
      <c r="A18" s="741">
        <v>5</v>
      </c>
      <c r="B18" s="483" t="s">
        <v>574</v>
      </c>
      <c r="C18" s="482">
        <v>499</v>
      </c>
      <c r="D18" s="482">
        <v>391.3</v>
      </c>
      <c r="E18" s="482"/>
      <c r="F18" s="482"/>
      <c r="G18" s="482">
        <v>69.1</v>
      </c>
      <c r="H18" s="484">
        <v>38.6</v>
      </c>
      <c r="I18" s="485">
        <v>499</v>
      </c>
      <c r="J18" s="486">
        <v>391.3</v>
      </c>
      <c r="K18" s="486"/>
      <c r="L18" s="486"/>
      <c r="M18" s="487">
        <v>69.1</v>
      </c>
      <c r="N18" s="487">
        <v>38.6</v>
      </c>
      <c r="O18" s="488" t="s">
        <v>575</v>
      </c>
    </row>
    <row r="19" spans="1:15" ht="89.25">
      <c r="A19" s="741">
        <v>6</v>
      </c>
      <c r="B19" s="472" t="s">
        <v>576</v>
      </c>
      <c r="C19" s="489">
        <v>67.403</v>
      </c>
      <c r="D19" s="473">
        <v>45.84</v>
      </c>
      <c r="E19" s="473">
        <v>8.09</v>
      </c>
      <c r="F19" s="473"/>
      <c r="G19" s="478">
        <v>13.48</v>
      </c>
      <c r="H19" s="481"/>
      <c r="I19" s="479">
        <v>36.67</v>
      </c>
      <c r="J19" s="480">
        <v>24.94</v>
      </c>
      <c r="K19" s="480">
        <v>4.4</v>
      </c>
      <c r="L19" s="480"/>
      <c r="M19" s="490">
        <v>7.33</v>
      </c>
      <c r="N19" s="490"/>
      <c r="O19" s="491" t="s">
        <v>577</v>
      </c>
    </row>
    <row r="20" spans="1:15" ht="102.75" customHeight="1">
      <c r="A20" s="741">
        <v>7</v>
      </c>
      <c r="B20" s="483" t="s">
        <v>578</v>
      </c>
      <c r="C20" s="492">
        <v>56.1</v>
      </c>
      <c r="D20" s="482">
        <v>47.7</v>
      </c>
      <c r="E20" s="482"/>
      <c r="F20" s="482"/>
      <c r="G20" s="482">
        <v>8.4</v>
      </c>
      <c r="H20" s="484"/>
      <c r="I20" s="485">
        <v>45.5</v>
      </c>
      <c r="J20" s="486">
        <v>38.6</v>
      </c>
      <c r="K20" s="486"/>
      <c r="L20" s="486"/>
      <c r="M20" s="486">
        <v>6.9</v>
      </c>
      <c r="N20" s="486"/>
      <c r="O20" s="493"/>
    </row>
    <row r="21" spans="1:15" ht="76.5">
      <c r="A21" s="741">
        <v>8</v>
      </c>
      <c r="B21" s="483" t="s">
        <v>579</v>
      </c>
      <c r="C21" s="492">
        <v>199.5</v>
      </c>
      <c r="D21" s="482">
        <v>133.7</v>
      </c>
      <c r="E21" s="482">
        <v>11.8</v>
      </c>
      <c r="F21" s="482"/>
      <c r="G21" s="482">
        <v>17</v>
      </c>
      <c r="H21" s="484">
        <v>37</v>
      </c>
      <c r="I21" s="485">
        <v>82.3</v>
      </c>
      <c r="J21" s="486">
        <v>69.9</v>
      </c>
      <c r="K21" s="486">
        <v>6.2</v>
      </c>
      <c r="L21" s="486"/>
      <c r="M21" s="486">
        <v>6.2</v>
      </c>
      <c r="N21" s="486"/>
      <c r="O21" s="493" t="s">
        <v>580</v>
      </c>
    </row>
    <row r="22" spans="1:15" ht="27.75" customHeight="1">
      <c r="A22" s="915">
        <v>9</v>
      </c>
      <c r="B22" s="472" t="s">
        <v>581</v>
      </c>
      <c r="C22" s="473">
        <v>141.76</v>
      </c>
      <c r="D22" s="473">
        <v>120.3</v>
      </c>
      <c r="E22" s="473">
        <v>10.6</v>
      </c>
      <c r="F22" s="473"/>
      <c r="G22" s="473">
        <v>10.6</v>
      </c>
      <c r="H22" s="474"/>
      <c r="I22" s="475">
        <f>J22+K22+M22</f>
        <v>93.49999999999999</v>
      </c>
      <c r="J22" s="476">
        <v>80.8</v>
      </c>
      <c r="K22" s="476">
        <v>7.1</v>
      </c>
      <c r="L22" s="476"/>
      <c r="M22" s="476">
        <v>5.6</v>
      </c>
      <c r="N22" s="476"/>
      <c r="O22" s="477" t="s">
        <v>582</v>
      </c>
    </row>
    <row r="23" spans="1:17" s="911" customFormat="1" ht="89.25">
      <c r="A23" s="915">
        <v>10</v>
      </c>
      <c r="B23" s="472" t="s">
        <v>583</v>
      </c>
      <c r="C23" s="473">
        <v>41.9</v>
      </c>
      <c r="D23" s="473"/>
      <c r="E23" s="473">
        <v>39.5</v>
      </c>
      <c r="F23" s="473"/>
      <c r="G23" s="473">
        <v>2.4</v>
      </c>
      <c r="H23" s="474"/>
      <c r="I23" s="494">
        <v>26.9</v>
      </c>
      <c r="J23" s="476"/>
      <c r="K23" s="476">
        <v>24.5</v>
      </c>
      <c r="L23" s="495"/>
      <c r="M23" s="495">
        <v>2.4</v>
      </c>
      <c r="N23" s="495"/>
      <c r="O23" s="477"/>
      <c r="P23"/>
      <c r="Q23"/>
    </row>
    <row r="24" spans="1:15" ht="38.25">
      <c r="A24" s="741">
        <v>11</v>
      </c>
      <c r="B24" s="472" t="s">
        <v>584</v>
      </c>
      <c r="C24" s="496">
        <v>109</v>
      </c>
      <c r="D24" s="496">
        <v>84</v>
      </c>
      <c r="E24" s="496"/>
      <c r="F24" s="496"/>
      <c r="G24" s="496">
        <v>25</v>
      </c>
      <c r="H24" s="497"/>
      <c r="I24" s="538">
        <v>109</v>
      </c>
      <c r="J24" s="539">
        <v>84</v>
      </c>
      <c r="K24" s="539"/>
      <c r="L24" s="539"/>
      <c r="M24" s="539">
        <v>25</v>
      </c>
      <c r="N24" s="539"/>
      <c r="O24" s="477"/>
    </row>
    <row r="25" spans="1:15" ht="76.5">
      <c r="A25" s="741">
        <v>12</v>
      </c>
      <c r="B25" s="472" t="s">
        <v>585</v>
      </c>
      <c r="C25" s="496">
        <v>220</v>
      </c>
      <c r="D25" s="496">
        <v>200</v>
      </c>
      <c r="E25" s="496"/>
      <c r="F25" s="496"/>
      <c r="G25" s="496">
        <v>20</v>
      </c>
      <c r="H25" s="497"/>
      <c r="I25" s="538">
        <v>220</v>
      </c>
      <c r="J25" s="539">
        <v>200</v>
      </c>
      <c r="K25" s="539"/>
      <c r="L25" s="539"/>
      <c r="M25" s="539">
        <v>20</v>
      </c>
      <c r="N25" s="539"/>
      <c r="O25" s="498" t="s">
        <v>586</v>
      </c>
    </row>
    <row r="26" spans="1:15" ht="89.25">
      <c r="A26" s="741">
        <v>13</v>
      </c>
      <c r="B26" s="472" t="s">
        <v>587</v>
      </c>
      <c r="C26" s="473">
        <v>269</v>
      </c>
      <c r="D26" s="473">
        <v>229</v>
      </c>
      <c r="E26" s="473">
        <v>20</v>
      </c>
      <c r="F26" s="473"/>
      <c r="G26" s="473">
        <v>20</v>
      </c>
      <c r="H26" s="474"/>
      <c r="I26" s="494">
        <v>38.5</v>
      </c>
      <c r="J26" s="476">
        <v>32.7</v>
      </c>
      <c r="K26" s="476">
        <v>2.9</v>
      </c>
      <c r="L26" s="495"/>
      <c r="M26" s="476">
        <v>2.9</v>
      </c>
      <c r="N26" s="476"/>
      <c r="O26" s="477" t="s">
        <v>588</v>
      </c>
    </row>
    <row r="27" spans="1:15" ht="38.25">
      <c r="A27" s="741">
        <v>14</v>
      </c>
      <c r="B27" s="483" t="s">
        <v>589</v>
      </c>
      <c r="C27" s="492">
        <v>135.8</v>
      </c>
      <c r="D27" s="482">
        <v>98.8</v>
      </c>
      <c r="E27" s="482"/>
      <c r="F27" s="482"/>
      <c r="G27" s="482">
        <v>37</v>
      </c>
      <c r="H27" s="484"/>
      <c r="I27" s="485">
        <v>37.2</v>
      </c>
      <c r="J27" s="486">
        <v>35.6</v>
      </c>
      <c r="K27" s="486"/>
      <c r="L27" s="486"/>
      <c r="M27" s="486">
        <v>0.5</v>
      </c>
      <c r="N27" s="486">
        <v>1.1</v>
      </c>
      <c r="O27" s="493"/>
    </row>
    <row r="28" spans="1:15" ht="89.25">
      <c r="A28" s="741">
        <v>15</v>
      </c>
      <c r="B28" s="499" t="s">
        <v>590</v>
      </c>
      <c r="C28" s="500">
        <v>1280.5</v>
      </c>
      <c r="D28" s="500">
        <v>286.9</v>
      </c>
      <c r="E28" s="500">
        <v>780</v>
      </c>
      <c r="F28" s="500"/>
      <c r="G28" s="500">
        <v>213.6</v>
      </c>
      <c r="H28" s="501"/>
      <c r="I28" s="502">
        <v>103.6</v>
      </c>
      <c r="J28" s="503">
        <v>23.2</v>
      </c>
      <c r="K28" s="503"/>
      <c r="L28" s="503"/>
      <c r="M28" s="503">
        <v>80.4</v>
      </c>
      <c r="N28" s="503"/>
      <c r="O28" s="504" t="s">
        <v>591</v>
      </c>
    </row>
    <row r="29" spans="1:15" ht="51">
      <c r="A29" s="742">
        <v>16</v>
      </c>
      <c r="B29" s="922" t="s">
        <v>592</v>
      </c>
      <c r="C29" s="923">
        <v>143.33</v>
      </c>
      <c r="D29" s="923">
        <v>114.7</v>
      </c>
      <c r="E29" s="923"/>
      <c r="F29" s="923"/>
      <c r="G29" s="923">
        <v>28.6</v>
      </c>
      <c r="H29" s="924"/>
      <c r="I29" s="929">
        <v>143.3</v>
      </c>
      <c r="J29" s="930">
        <v>114.7</v>
      </c>
      <c r="K29" s="930"/>
      <c r="L29" s="930"/>
      <c r="M29" s="930">
        <v>28.6</v>
      </c>
      <c r="N29" s="930"/>
      <c r="O29" s="925"/>
    </row>
    <row r="30" spans="1:15" ht="153.75" thickBot="1">
      <c r="A30" s="743">
        <v>17</v>
      </c>
      <c r="B30" s="505" t="s">
        <v>593</v>
      </c>
      <c r="C30" s="505">
        <v>521.8</v>
      </c>
      <c r="D30" s="505">
        <v>443.6</v>
      </c>
      <c r="E30" s="505">
        <v>39.1</v>
      </c>
      <c r="F30" s="505"/>
      <c r="G30" s="505">
        <v>39.1</v>
      </c>
      <c r="H30" s="506"/>
      <c r="I30" s="507">
        <v>66.4</v>
      </c>
      <c r="J30" s="508">
        <v>56.4</v>
      </c>
      <c r="K30" s="508">
        <v>5</v>
      </c>
      <c r="L30" s="508"/>
      <c r="M30" s="508">
        <v>5</v>
      </c>
      <c r="N30" s="508"/>
      <c r="O30" s="509" t="s">
        <v>594</v>
      </c>
    </row>
    <row r="31" spans="1:15" ht="64.5" thickBot="1">
      <c r="A31" s="744">
        <v>18</v>
      </c>
      <c r="B31" s="510" t="s">
        <v>595</v>
      </c>
      <c r="C31" s="511">
        <v>225.1</v>
      </c>
      <c r="D31" s="512">
        <v>191.3</v>
      </c>
      <c r="E31" s="512">
        <v>16.9</v>
      </c>
      <c r="F31" s="512"/>
      <c r="G31" s="512">
        <v>16.9</v>
      </c>
      <c r="H31" s="513"/>
      <c r="I31" s="514">
        <v>10.5</v>
      </c>
      <c r="J31" s="515">
        <v>8.9</v>
      </c>
      <c r="K31" s="515">
        <v>0.8</v>
      </c>
      <c r="L31" s="515"/>
      <c r="M31" s="515">
        <v>0.8</v>
      </c>
      <c r="N31" s="515"/>
      <c r="O31" s="516" t="s">
        <v>596</v>
      </c>
    </row>
    <row r="32" spans="1:15" ht="89.25">
      <c r="A32" s="740">
        <v>19</v>
      </c>
      <c r="B32" s="517" t="s">
        <v>597</v>
      </c>
      <c r="C32" s="518">
        <v>94.5</v>
      </c>
      <c r="D32" s="519">
        <v>80.4</v>
      </c>
      <c r="E32" s="520">
        <v>7.1</v>
      </c>
      <c r="F32" s="520"/>
      <c r="G32" s="519">
        <v>7.1</v>
      </c>
      <c r="H32" s="521"/>
      <c r="I32" s="522">
        <v>2.4</v>
      </c>
      <c r="J32" s="523">
        <v>2.04</v>
      </c>
      <c r="K32" s="523"/>
      <c r="L32" s="523"/>
      <c r="M32" s="523">
        <v>0.36</v>
      </c>
      <c r="N32" s="524"/>
      <c r="O32" s="525" t="s">
        <v>598</v>
      </c>
    </row>
    <row r="33" spans="1:15" ht="127.5">
      <c r="A33" s="741">
        <v>20</v>
      </c>
      <c r="B33" s="526" t="s">
        <v>599</v>
      </c>
      <c r="C33" s="527">
        <v>20.28</v>
      </c>
      <c r="D33" s="492">
        <v>20.28</v>
      </c>
      <c r="E33" s="492"/>
      <c r="F33" s="526"/>
      <c r="G33" s="526"/>
      <c r="H33" s="528"/>
      <c r="I33" s="529">
        <v>20.28</v>
      </c>
      <c r="J33" s="530">
        <v>16.18</v>
      </c>
      <c r="K33" s="530"/>
      <c r="L33" s="530"/>
      <c r="M33" s="530">
        <v>4.1</v>
      </c>
      <c r="N33" s="530"/>
      <c r="O33" s="528" t="s">
        <v>600</v>
      </c>
    </row>
    <row r="34" spans="1:15" ht="127.5">
      <c r="A34" s="741">
        <v>21</v>
      </c>
      <c r="B34" s="526" t="s">
        <v>601</v>
      </c>
      <c r="C34" s="527">
        <v>136.07</v>
      </c>
      <c r="D34" s="492">
        <v>122.46</v>
      </c>
      <c r="E34" s="492"/>
      <c r="F34" s="526"/>
      <c r="G34" s="526">
        <v>13.61</v>
      </c>
      <c r="H34" s="528"/>
      <c r="I34" s="529">
        <v>109.2</v>
      </c>
      <c r="J34" s="530">
        <v>98.28</v>
      </c>
      <c r="K34" s="530"/>
      <c r="L34" s="530"/>
      <c r="M34" s="530">
        <v>10.92</v>
      </c>
      <c r="N34" s="530"/>
      <c r="O34" s="531" t="s">
        <v>602</v>
      </c>
    </row>
    <row r="35" spans="1:15" ht="51">
      <c r="A35" s="741">
        <v>22</v>
      </c>
      <c r="B35" s="526" t="s">
        <v>603</v>
      </c>
      <c r="C35" s="532">
        <v>152.7</v>
      </c>
      <c r="D35" s="532">
        <v>117.1</v>
      </c>
      <c r="E35" s="532"/>
      <c r="F35" s="532"/>
      <c r="G35" s="532">
        <v>35.6</v>
      </c>
      <c r="H35" s="532"/>
      <c r="I35" s="535">
        <v>152.7</v>
      </c>
      <c r="J35" s="535">
        <v>117.1</v>
      </c>
      <c r="K35" s="535"/>
      <c r="L35" s="535"/>
      <c r="M35" s="540">
        <v>35.6</v>
      </c>
      <c r="N35" s="540"/>
      <c r="O35" s="531"/>
    </row>
    <row r="36" spans="1:15" ht="89.25">
      <c r="A36" s="741">
        <v>23</v>
      </c>
      <c r="B36" s="526" t="s">
        <v>604</v>
      </c>
      <c r="C36" s="492">
        <v>118.2</v>
      </c>
      <c r="D36" s="492">
        <v>112.3</v>
      </c>
      <c r="E36" s="492"/>
      <c r="F36" s="492"/>
      <c r="G36" s="492">
        <v>5.9</v>
      </c>
      <c r="H36" s="533"/>
      <c r="I36" s="529">
        <v>73.9</v>
      </c>
      <c r="J36" s="534">
        <v>70.2</v>
      </c>
      <c r="K36" s="534"/>
      <c r="L36" s="534"/>
      <c r="M36" s="534">
        <v>3.7</v>
      </c>
      <c r="N36" s="534"/>
      <c r="O36" s="516" t="s">
        <v>605</v>
      </c>
    </row>
    <row r="37" spans="1:15" ht="102">
      <c r="A37" s="741">
        <v>24</v>
      </c>
      <c r="B37" s="492" t="s">
        <v>606</v>
      </c>
      <c r="C37" s="532">
        <v>54.04975</v>
      </c>
      <c r="D37" s="532">
        <v>35.73537</v>
      </c>
      <c r="E37" s="532"/>
      <c r="F37" s="532"/>
      <c r="G37" s="532">
        <v>8.93385</v>
      </c>
      <c r="H37" s="532">
        <v>9.38053</v>
      </c>
      <c r="I37" s="532">
        <f>J37+M37+N37</f>
        <v>48.410000000000004</v>
      </c>
      <c r="J37" s="532">
        <v>35.74</v>
      </c>
      <c r="K37" s="532"/>
      <c r="L37" s="532"/>
      <c r="M37" s="532">
        <v>6.18</v>
      </c>
      <c r="N37" s="532">
        <v>6.49</v>
      </c>
      <c r="O37" s="492" t="s">
        <v>607</v>
      </c>
    </row>
    <row r="38" spans="1:15" ht="102">
      <c r="A38" s="745">
        <v>25</v>
      </c>
      <c r="B38" s="492" t="s">
        <v>608</v>
      </c>
      <c r="C38" s="532">
        <f>D38+G38</f>
        <v>91.35</v>
      </c>
      <c r="D38" s="532">
        <v>89.55</v>
      </c>
      <c r="E38" s="532"/>
      <c r="F38" s="532"/>
      <c r="G38" s="532">
        <v>1.8</v>
      </c>
      <c r="H38" s="532"/>
      <c r="I38" s="535">
        <v>81.41</v>
      </c>
      <c r="J38" s="535">
        <v>79.58</v>
      </c>
      <c r="K38" s="535"/>
      <c r="L38" s="535"/>
      <c r="M38" s="535">
        <v>1.83</v>
      </c>
      <c r="N38" s="535"/>
      <c r="O38" s="492" t="s">
        <v>609</v>
      </c>
    </row>
    <row r="39" spans="1:15" ht="76.5">
      <c r="A39" s="423">
        <v>26</v>
      </c>
      <c r="B39" s="492" t="s">
        <v>610</v>
      </c>
      <c r="C39" s="532">
        <v>22.7</v>
      </c>
      <c r="D39" s="532">
        <v>22.7</v>
      </c>
      <c r="E39" s="532"/>
      <c r="F39" s="532"/>
      <c r="G39" s="532"/>
      <c r="H39" s="532"/>
      <c r="I39" s="535">
        <v>22.7</v>
      </c>
      <c r="J39" s="535">
        <v>18.2</v>
      </c>
      <c r="K39" s="535"/>
      <c r="L39" s="535"/>
      <c r="M39" s="535">
        <v>4.5</v>
      </c>
      <c r="N39" s="535"/>
      <c r="O39" s="492" t="s">
        <v>690</v>
      </c>
    </row>
    <row r="40" spans="1:15" ht="89.25">
      <c r="A40" s="423">
        <v>27</v>
      </c>
      <c r="B40" s="492" t="s">
        <v>611</v>
      </c>
      <c r="C40" s="532">
        <v>147.142</v>
      </c>
      <c r="D40" s="532">
        <v>116.37</v>
      </c>
      <c r="E40" s="532"/>
      <c r="F40" s="532"/>
      <c r="G40" s="532">
        <v>30.77</v>
      </c>
      <c r="H40" s="532"/>
      <c r="I40" s="535">
        <v>147.14</v>
      </c>
      <c r="J40" s="535">
        <v>116.37</v>
      </c>
      <c r="K40" s="535"/>
      <c r="L40" s="535"/>
      <c r="M40" s="540">
        <v>30.77</v>
      </c>
      <c r="N40" s="540"/>
      <c r="O40" s="531" t="s">
        <v>612</v>
      </c>
    </row>
    <row r="41" spans="1:15" ht="63.75">
      <c r="A41" s="746">
        <v>28</v>
      </c>
      <c r="B41" s="526" t="s">
        <v>613</v>
      </c>
      <c r="C41" s="492">
        <v>45.24</v>
      </c>
      <c r="D41" s="492">
        <v>45.24</v>
      </c>
      <c r="E41" s="492"/>
      <c r="F41" s="492"/>
      <c r="G41" s="492"/>
      <c r="H41" s="537"/>
      <c r="I41" s="541">
        <v>4</v>
      </c>
      <c r="J41" s="536"/>
      <c r="K41" s="536"/>
      <c r="L41" s="536"/>
      <c r="M41" s="536">
        <v>4</v>
      </c>
      <c r="N41" s="536"/>
      <c r="O41" s="537" t="s">
        <v>691</v>
      </c>
    </row>
    <row r="42" spans="1:15" ht="63.75">
      <c r="A42" s="747">
        <v>29</v>
      </c>
      <c r="B42" s="492" t="s">
        <v>614</v>
      </c>
      <c r="C42" s="532">
        <v>36.452</v>
      </c>
      <c r="D42" s="532">
        <v>36.45</v>
      </c>
      <c r="E42" s="532"/>
      <c r="F42" s="532"/>
      <c r="G42" s="532"/>
      <c r="H42" s="532"/>
      <c r="I42" s="535">
        <v>4.8</v>
      </c>
      <c r="J42" s="535"/>
      <c r="K42" s="535"/>
      <c r="L42" s="535"/>
      <c r="M42" s="535">
        <v>4.8</v>
      </c>
      <c r="N42" s="535"/>
      <c r="O42" s="537" t="s">
        <v>692</v>
      </c>
    </row>
    <row r="43" spans="1:15" ht="127.5">
      <c r="A43" s="747">
        <v>30</v>
      </c>
      <c r="B43" s="526" t="s">
        <v>615</v>
      </c>
      <c r="C43" s="527">
        <v>136.07</v>
      </c>
      <c r="D43" s="492">
        <v>122.46</v>
      </c>
      <c r="E43" s="492"/>
      <c r="F43" s="526"/>
      <c r="G43" s="526">
        <v>13.61</v>
      </c>
      <c r="H43" s="528"/>
      <c r="I43" s="529">
        <v>109.2</v>
      </c>
      <c r="J43" s="530">
        <v>98.28</v>
      </c>
      <c r="K43" s="530"/>
      <c r="L43" s="530"/>
      <c r="M43" s="530">
        <v>10.92</v>
      </c>
      <c r="N43" s="530"/>
      <c r="O43" s="531" t="s">
        <v>602</v>
      </c>
    </row>
    <row r="44" spans="1:15" ht="51">
      <c r="A44" s="747">
        <v>31</v>
      </c>
      <c r="B44" s="526" t="s">
        <v>616</v>
      </c>
      <c r="C44" s="527">
        <v>30.4</v>
      </c>
      <c r="D44" s="492">
        <v>26.4</v>
      </c>
      <c r="E44" s="492"/>
      <c r="F44" s="526"/>
      <c r="G44" s="526">
        <v>4</v>
      </c>
      <c r="H44" s="528"/>
      <c r="I44" s="529">
        <v>30.4</v>
      </c>
      <c r="J44" s="530">
        <v>26.4</v>
      </c>
      <c r="K44" s="530"/>
      <c r="L44" s="530"/>
      <c r="M44" s="530">
        <v>4</v>
      </c>
      <c r="N44" s="530"/>
      <c r="O44" s="537" t="s">
        <v>617</v>
      </c>
    </row>
    <row r="45" spans="1:15" ht="38.25">
      <c r="A45" s="747">
        <v>32</v>
      </c>
      <c r="B45" s="526" t="s">
        <v>618</v>
      </c>
      <c r="C45" s="527">
        <v>15.4</v>
      </c>
      <c r="D45" s="492">
        <v>13.4</v>
      </c>
      <c r="E45" s="492"/>
      <c r="F45" s="526"/>
      <c r="G45" s="526">
        <v>2</v>
      </c>
      <c r="H45" s="528"/>
      <c r="I45" s="529">
        <v>15.4</v>
      </c>
      <c r="J45" s="530">
        <v>13.4</v>
      </c>
      <c r="K45" s="530"/>
      <c r="L45" s="530"/>
      <c r="M45" s="530">
        <v>2</v>
      </c>
      <c r="N45" s="530"/>
      <c r="O45" s="537" t="s">
        <v>619</v>
      </c>
    </row>
    <row r="46" spans="1:15" ht="90" customHeight="1">
      <c r="A46" s="747">
        <v>33</v>
      </c>
      <c r="B46" s="526" t="s">
        <v>707</v>
      </c>
      <c r="C46" s="527">
        <v>131</v>
      </c>
      <c r="D46" s="492">
        <v>111</v>
      </c>
      <c r="E46" s="492">
        <v>10</v>
      </c>
      <c r="F46" s="526"/>
      <c r="G46" s="526">
        <v>10</v>
      </c>
      <c r="H46" s="528"/>
      <c r="I46" s="529">
        <v>44.45</v>
      </c>
      <c r="J46" s="530">
        <v>19.6</v>
      </c>
      <c r="K46" s="530">
        <v>1.75</v>
      </c>
      <c r="L46" s="530"/>
      <c r="M46" s="530">
        <v>23.1</v>
      </c>
      <c r="N46" s="530"/>
      <c r="O46" s="979" t="s">
        <v>708</v>
      </c>
    </row>
    <row r="47" spans="1:15" ht="25.5">
      <c r="A47" s="802">
        <v>34</v>
      </c>
      <c r="B47" s="803" t="s">
        <v>706</v>
      </c>
      <c r="C47" s="807">
        <v>175.1</v>
      </c>
      <c r="D47" s="805">
        <v>108.28</v>
      </c>
      <c r="E47" s="805">
        <v>19.11</v>
      </c>
      <c r="F47" s="803"/>
      <c r="G47" s="803">
        <v>31.8</v>
      </c>
      <c r="H47" s="806">
        <v>15.9</v>
      </c>
      <c r="I47" s="529">
        <v>9.55</v>
      </c>
      <c r="J47" s="530"/>
      <c r="K47" s="530"/>
      <c r="L47" s="530"/>
      <c r="M47" s="530"/>
      <c r="N47" s="530">
        <v>9.55</v>
      </c>
      <c r="O47" s="818"/>
    </row>
    <row r="48" spans="1:15" ht="20.25" customHeight="1">
      <c r="A48" s="802">
        <v>35</v>
      </c>
      <c r="B48" s="803" t="s">
        <v>705</v>
      </c>
      <c r="C48" s="804">
        <v>163.255</v>
      </c>
      <c r="D48" s="805">
        <v>147.84</v>
      </c>
      <c r="E48" s="805"/>
      <c r="F48" s="803"/>
      <c r="G48" s="803">
        <v>15.415</v>
      </c>
      <c r="H48" s="806"/>
      <c r="I48" s="529">
        <v>74</v>
      </c>
      <c r="J48" s="530">
        <v>66.5</v>
      </c>
      <c r="K48" s="530"/>
      <c r="L48" s="530"/>
      <c r="M48" s="530">
        <v>7.5</v>
      </c>
      <c r="N48" s="530"/>
      <c r="O48" s="818"/>
    </row>
    <row r="49" spans="1:15" ht="89.25" customHeight="1">
      <c r="A49" s="802">
        <v>36</v>
      </c>
      <c r="B49" s="803" t="s">
        <v>665</v>
      </c>
      <c r="C49" s="807">
        <v>126</v>
      </c>
      <c r="D49" s="805"/>
      <c r="E49" s="805">
        <v>93</v>
      </c>
      <c r="F49" s="803"/>
      <c r="G49" s="803">
        <v>18.6</v>
      </c>
      <c r="H49" s="806">
        <v>14.4</v>
      </c>
      <c r="I49" s="529">
        <v>126</v>
      </c>
      <c r="J49" s="530"/>
      <c r="K49" s="530">
        <v>93</v>
      </c>
      <c r="L49" s="530"/>
      <c r="M49" s="530">
        <v>18.6</v>
      </c>
      <c r="N49" s="530">
        <v>14.4</v>
      </c>
      <c r="O49" s="808" t="s">
        <v>666</v>
      </c>
    </row>
    <row r="50" spans="1:15" ht="51" customHeight="1">
      <c r="A50" s="802">
        <v>37</v>
      </c>
      <c r="B50" s="803" t="s">
        <v>653</v>
      </c>
      <c r="C50" s="804">
        <v>253.251</v>
      </c>
      <c r="D50" s="805">
        <v>244.251</v>
      </c>
      <c r="E50" s="805"/>
      <c r="F50" s="803"/>
      <c r="G50" s="803">
        <v>9</v>
      </c>
      <c r="H50" s="806"/>
      <c r="I50" s="529">
        <v>253.251</v>
      </c>
      <c r="J50" s="530">
        <v>244.251</v>
      </c>
      <c r="K50" s="530"/>
      <c r="L50" s="530"/>
      <c r="M50" s="530">
        <v>9</v>
      </c>
      <c r="N50" s="530"/>
      <c r="O50" s="980"/>
    </row>
    <row r="51" spans="1:15" ht="51" customHeight="1">
      <c r="A51" s="802">
        <v>38</v>
      </c>
      <c r="B51" s="803" t="s">
        <v>680</v>
      </c>
      <c r="C51" s="804">
        <v>107.8</v>
      </c>
      <c r="D51" s="805">
        <v>85</v>
      </c>
      <c r="E51" s="805"/>
      <c r="F51" s="803">
        <v>4.8</v>
      </c>
      <c r="G51" s="803">
        <v>18</v>
      </c>
      <c r="H51" s="806"/>
      <c r="I51" s="529">
        <v>107.8</v>
      </c>
      <c r="J51" s="530">
        <v>85</v>
      </c>
      <c r="K51" s="530"/>
      <c r="L51" s="530">
        <v>4.8</v>
      </c>
      <c r="M51" s="530">
        <v>18</v>
      </c>
      <c r="N51" s="530"/>
      <c r="O51" s="808" t="s">
        <v>681</v>
      </c>
    </row>
    <row r="52" spans="1:15" ht="51" customHeight="1">
      <c r="A52" s="802">
        <v>39</v>
      </c>
      <c r="B52" s="803" t="s">
        <v>689</v>
      </c>
      <c r="C52" s="804">
        <v>103.5</v>
      </c>
      <c r="D52" s="805">
        <v>85</v>
      </c>
      <c r="E52" s="805"/>
      <c r="F52" s="803">
        <v>4.5</v>
      </c>
      <c r="G52" s="803">
        <v>14</v>
      </c>
      <c r="H52" s="806"/>
      <c r="I52" s="529">
        <v>73.4</v>
      </c>
      <c r="J52" s="530">
        <v>59.5</v>
      </c>
      <c r="K52" s="530"/>
      <c r="L52" s="530">
        <v>2.9</v>
      </c>
      <c r="M52" s="530">
        <v>11</v>
      </c>
      <c r="N52" s="530"/>
      <c r="O52" s="980"/>
    </row>
    <row r="53" spans="1:15" ht="13.5" thickBot="1">
      <c r="A53" s="470">
        <v>40</v>
      </c>
      <c r="B53" s="471" t="s">
        <v>620</v>
      </c>
      <c r="C53" s="471">
        <f>SUM(C14:C52)</f>
        <v>7639.839749999999</v>
      </c>
      <c r="D53" s="471">
        <f aca="true" t="shared" si="0" ref="D53:O53">SUM(D14:D52)</f>
        <v>5183.556369999999</v>
      </c>
      <c r="E53" s="471">
        <f t="shared" si="0"/>
        <v>1236.8939999999998</v>
      </c>
      <c r="F53" s="471">
        <f t="shared" si="0"/>
        <v>9.3</v>
      </c>
      <c r="G53" s="471">
        <f t="shared" si="0"/>
        <v>1094.61085</v>
      </c>
      <c r="H53" s="471">
        <f t="shared" si="0"/>
        <v>115.28053</v>
      </c>
      <c r="I53" s="471">
        <f t="shared" si="0"/>
        <v>4212.647999999999</v>
      </c>
      <c r="J53" s="471">
        <f t="shared" si="0"/>
        <v>3202.6549999999997</v>
      </c>
      <c r="K53" s="471">
        <f t="shared" si="0"/>
        <v>168.65</v>
      </c>
      <c r="L53" s="471">
        <f t="shared" si="0"/>
        <v>7.699999999999999</v>
      </c>
      <c r="M53" s="471">
        <f t="shared" si="0"/>
        <v>743.0019999999998</v>
      </c>
      <c r="N53" s="471">
        <f t="shared" si="0"/>
        <v>90.64</v>
      </c>
      <c r="O53" s="471">
        <f t="shared" si="0"/>
        <v>0</v>
      </c>
    </row>
    <row r="67" ht="12.75" customHeight="1"/>
  </sheetData>
  <sheetProtection/>
  <mergeCells count="13">
    <mergeCell ref="H12:H13"/>
    <mergeCell ref="M12:N12"/>
    <mergeCell ref="O12:O13"/>
    <mergeCell ref="B6:G7"/>
    <mergeCell ref="A11:A13"/>
    <mergeCell ref="B11:B13"/>
    <mergeCell ref="C11:C13"/>
    <mergeCell ref="D11:H11"/>
    <mergeCell ref="I11:N11"/>
    <mergeCell ref="D12:D13"/>
    <mergeCell ref="E12:E13"/>
    <mergeCell ref="F12:F13"/>
    <mergeCell ref="G12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2020-02-18T11:43:27Z</cp:lastPrinted>
  <dcterms:created xsi:type="dcterms:W3CDTF">2013-02-05T08:01:03Z</dcterms:created>
  <dcterms:modified xsi:type="dcterms:W3CDTF">2020-02-24T09:02:17Z</dcterms:modified>
  <cp:category/>
  <cp:version/>
  <cp:contentType/>
  <cp:contentStatus/>
</cp:coreProperties>
</file>